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Lemma OÜ\Narva Karjäär 2025\"/>
    </mc:Choice>
  </mc:AlternateContent>
  <xr:revisionPtr revIDLastSave="0" documentId="13_ncr:1_{E1972599-52F0-408F-A658-65BA8B7BD311}" xr6:coauthVersionLast="47" xr6:coauthVersionMax="47" xr10:uidLastSave="{00000000-0000-0000-0000-000000000000}"/>
  <bookViews>
    <workbookView xWindow="38280" yWindow="-120" windowWidth="51840" windowHeight="21240" tabRatio="923" activeTab="5" xr2:uid="{00000000-000D-0000-FFFF-FFFF00000000}"/>
  </bookViews>
  <sheets>
    <sheet name="001,002A,002B Tanklad" sheetId="1" r:id="rId1"/>
    <sheet name="V1 Lõhkamine ja puurimine" sheetId="11" r:id="rId2"/>
    <sheet name="V2,V3,V4,V5 Tolm Narva jaamas" sheetId="4" r:id="rId3"/>
    <sheet name="V8 Biokütuseladu" sheetId="14" r:id="rId4"/>
    <sheet name="V9 Purusti" sheetId="16" r:id="rId5"/>
    <sheet name="Koond" sheetId="12" r:id="rId6"/>
  </sheets>
  <externalReferences>
    <externalReference r:id="rId7"/>
    <externalReference r:id="rId8"/>
    <externalReference r:id="rId9"/>
  </externalReferences>
  <definedNames>
    <definedName name="_ftn1" localSheetId="4">'V9 Purusti'!$A$1</definedName>
    <definedName name="_Toc111999977" localSheetId="4">'V9 Purusti'!$A$8</definedName>
    <definedName name="max" localSheetId="4">[1]lahustid!#REF!</definedName>
    <definedName name="max">[1]lahustid!#REF!</definedName>
    <definedName name="para3lg2" localSheetId="0">'001,002A,002B Tanklad'!#REF!</definedName>
    <definedName name="para3lg4" localSheetId="0">'001,002A,002B Tanklad'!#REF!</definedName>
    <definedName name="para8lg1" localSheetId="0">'001,002A,002B Tanklad'!$A$35</definedName>
    <definedName name="para8lg2" localSheetId="0">'001,002A,002B Tanklad'!$A$36</definedName>
    <definedName name="sumif" localSheetId="4">[2]Lahustid!#REF!</definedName>
    <definedName name="sumif">'[3]Lahustid V9'!#REF!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2" l="1"/>
  <c r="B6" i="16" l="1"/>
  <c r="C33" i="16"/>
  <c r="C39" i="16"/>
  <c r="D28" i="16" s="1"/>
  <c r="C38" i="16"/>
  <c r="C28" i="16" s="1"/>
  <c r="C37" i="16"/>
  <c r="B28" i="16" s="1"/>
  <c r="K28" i="16" l="1"/>
  <c r="C13" i="16" l="1"/>
  <c r="B4" i="16"/>
  <c r="A28" i="16" s="1"/>
  <c r="G28" i="16" l="1"/>
  <c r="J28" i="16" s="1"/>
  <c r="E28" i="16"/>
  <c r="F28" i="16"/>
  <c r="C10" i="16"/>
  <c r="C12" i="16" s="1"/>
  <c r="I28" i="16" l="1"/>
  <c r="H28" i="16"/>
  <c r="C20" i="16"/>
  <c r="C22" i="16"/>
  <c r="C21" i="16"/>
  <c r="C17" i="16"/>
  <c r="K11" i="16" s="1"/>
  <c r="C31" i="12" s="1"/>
  <c r="J11" i="16" l="1"/>
  <c r="B31" i="12" s="1"/>
  <c r="G9" i="12"/>
  <c r="J12" i="16"/>
  <c r="B32" i="12" s="1"/>
  <c r="J13" i="16"/>
  <c r="B33" i="12" s="1"/>
  <c r="C5" i="4" l="1"/>
  <c r="C21" i="4"/>
  <c r="F5" i="4"/>
  <c r="I5" i="4"/>
  <c r="L5" i="4"/>
  <c r="F6" i="4"/>
  <c r="I6" i="4"/>
  <c r="L6" i="4"/>
  <c r="L7" i="4"/>
  <c r="V4" i="4"/>
  <c r="V6" i="4"/>
  <c r="C20" i="4"/>
  <c r="E5" i="4"/>
  <c r="H5" i="4"/>
  <c r="K5" i="4"/>
  <c r="E6" i="4"/>
  <c r="H6" i="4"/>
  <c r="K6" i="4"/>
  <c r="K7" i="4"/>
  <c r="V5" i="4"/>
  <c r="C13" i="14"/>
  <c r="D13" i="14"/>
  <c r="G13" i="14"/>
  <c r="C14" i="14"/>
  <c r="D14" i="14"/>
  <c r="G14" i="14"/>
  <c r="C16" i="14"/>
  <c r="D16" i="14"/>
  <c r="E16" i="14"/>
  <c r="G16" i="14"/>
  <c r="C17" i="14"/>
  <c r="D17" i="14"/>
  <c r="E17" i="14"/>
  <c r="G17" i="14"/>
  <c r="G4" i="1"/>
  <c r="B13" i="1"/>
  <c r="B16" i="1"/>
  <c r="B26" i="12"/>
  <c r="C26" i="12"/>
  <c r="C12" i="11"/>
  <c r="C20" i="11"/>
  <c r="H21" i="11"/>
  <c r="H22" i="11"/>
  <c r="B27" i="12"/>
  <c r="C27" i="12"/>
  <c r="L3" i="11"/>
  <c r="L4" i="11"/>
  <c r="L5" i="11"/>
  <c r="N5" i="11"/>
  <c r="C4" i="11"/>
  <c r="M7" i="11"/>
  <c r="H20" i="11"/>
  <c r="J20" i="11"/>
  <c r="I20" i="11"/>
  <c r="D8" i="4"/>
  <c r="I24" i="11"/>
  <c r="G8" i="4"/>
  <c r="I25" i="11"/>
  <c r="I23" i="11"/>
  <c r="C7" i="12"/>
  <c r="G5" i="12"/>
  <c r="C8" i="12"/>
  <c r="G4" i="12"/>
  <c r="C9" i="12"/>
  <c r="G8" i="12"/>
  <c r="I32" i="1"/>
  <c r="F5" i="11"/>
  <c r="H22" i="1"/>
  <c r="I24" i="1"/>
  <c r="H26" i="1"/>
  <c r="I28" i="1"/>
  <c r="H30" i="1"/>
  <c r="F6" i="11"/>
  <c r="C9" i="11"/>
  <c r="H12" i="11"/>
  <c r="J24" i="11"/>
  <c r="B8" i="12"/>
  <c r="E12" i="11"/>
  <c r="F12" i="11"/>
  <c r="I22" i="11"/>
  <c r="C6" i="12"/>
  <c r="C4" i="12"/>
  <c r="I21" i="11"/>
  <c r="C5" i="12"/>
  <c r="J23" i="11"/>
  <c r="B7" i="12"/>
  <c r="J25" i="11"/>
  <c r="B9" i="12"/>
  <c r="J22" i="11"/>
  <c r="B6" i="12"/>
  <c r="H23" i="11"/>
  <c r="H24" i="11"/>
  <c r="H25" i="11"/>
  <c r="B4" i="12"/>
  <c r="J21" i="11"/>
  <c r="B5" i="12"/>
  <c r="F9" i="4"/>
  <c r="I9" i="4"/>
  <c r="E9" i="4"/>
  <c r="H9" i="4"/>
  <c r="D9" i="4"/>
  <c r="G9" i="4"/>
  <c r="J9" i="4"/>
  <c r="F8" i="4"/>
  <c r="I8" i="4"/>
  <c r="E8" i="4"/>
  <c r="H8" i="4"/>
  <c r="L9" i="4"/>
  <c r="L8" i="4"/>
  <c r="K9" i="4"/>
  <c r="K8" i="4"/>
  <c r="J8" i="4"/>
  <c r="C19" i="4"/>
  <c r="F10" i="4"/>
  <c r="I10" i="4"/>
  <c r="I11" i="4"/>
  <c r="L10" i="4"/>
  <c r="E10" i="4"/>
  <c r="H10" i="4"/>
  <c r="H11" i="4"/>
  <c r="K10" i="4"/>
  <c r="D10" i="4"/>
  <c r="G10" i="4"/>
  <c r="J10" i="4"/>
  <c r="D5" i="4"/>
  <c r="G5" i="4"/>
  <c r="D6" i="4"/>
  <c r="G6" i="4"/>
  <c r="J6" i="4"/>
  <c r="G11" i="4"/>
  <c r="C20" i="12"/>
  <c r="C22" i="12"/>
  <c r="C21" i="12"/>
  <c r="I7" i="4"/>
  <c r="G7" i="4"/>
  <c r="H7" i="4"/>
  <c r="J5" i="4"/>
  <c r="J11" i="4"/>
  <c r="L11" i="4"/>
  <c r="K11" i="4"/>
  <c r="B22" i="12"/>
  <c r="B21" i="12"/>
  <c r="J7" i="4"/>
  <c r="B20" i="12"/>
  <c r="E28" i="1"/>
  <c r="I23" i="1"/>
  <c r="K23" i="1"/>
  <c r="I25" i="1"/>
  <c r="K25" i="1"/>
  <c r="M25" i="1"/>
  <c r="G5" i="1"/>
  <c r="I27" i="1"/>
  <c r="K27" i="1"/>
  <c r="I29" i="1"/>
  <c r="K29" i="1"/>
  <c r="M29" i="1"/>
  <c r="G6" i="1"/>
  <c r="I31" i="1"/>
  <c r="K31" i="1"/>
  <c r="I33" i="1"/>
  <c r="K33" i="1"/>
  <c r="M33" i="1"/>
  <c r="I6" i="1"/>
  <c r="I5" i="1"/>
  <c r="I4" i="1"/>
  <c r="C13" i="1"/>
  <c r="C25" i="1"/>
  <c r="D13" i="1"/>
  <c r="B25" i="1"/>
  <c r="B29" i="1"/>
  <c r="B32" i="1"/>
  <c r="B33" i="1"/>
  <c r="D25" i="1"/>
  <c r="D29" i="1"/>
  <c r="D32" i="1"/>
  <c r="D33" i="1"/>
  <c r="D16" i="1"/>
  <c r="A30" i="1"/>
  <c r="A29" i="1"/>
  <c r="C23" i="1"/>
  <c r="B23" i="1"/>
  <c r="C29" i="1"/>
  <c r="C32" i="1"/>
  <c r="C33" i="1"/>
  <c r="B17" i="1"/>
  <c r="B30" i="1"/>
  <c r="B40" i="1"/>
  <c r="B39" i="1"/>
  <c r="B19" i="1"/>
  <c r="B42" i="1"/>
  <c r="D39" i="1"/>
  <c r="D19" i="1"/>
  <c r="D17" i="1"/>
  <c r="D30" i="1"/>
  <c r="C30" i="1"/>
  <c r="C16" i="1"/>
  <c r="E29" i="1"/>
  <c r="C39" i="1"/>
  <c r="E39" i="1"/>
  <c r="C19" i="1"/>
  <c r="D42" i="1"/>
  <c r="D20" i="1"/>
  <c r="D43" i="1"/>
  <c r="B20" i="1"/>
  <c r="B43" i="1"/>
  <c r="D40" i="1"/>
  <c r="C17" i="1"/>
  <c r="C40" i="1"/>
  <c r="E40" i="1"/>
  <c r="E19" i="1"/>
  <c r="E32" i="1"/>
  <c r="E30" i="1"/>
  <c r="E33" i="1"/>
  <c r="E16" i="1"/>
  <c r="C16" i="12"/>
  <c r="B16" i="12"/>
  <c r="C42" i="1"/>
  <c r="E42" i="1"/>
  <c r="C20" i="1"/>
  <c r="C43" i="1"/>
  <c r="E43" i="1"/>
  <c r="E17" i="1"/>
  <c r="C17" i="12"/>
  <c r="G7" i="12"/>
  <c r="E20" i="1"/>
  <c r="B17" i="12"/>
  <c r="C19" i="16" l="1"/>
  <c r="C18" i="16"/>
  <c r="K12" i="16" l="1"/>
  <c r="C32" i="12" s="1"/>
  <c r="G10" i="12" s="1"/>
  <c r="K13" i="16"/>
  <c r="C33" i="12" s="1"/>
  <c r="G11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Ain</author>
  </authors>
  <commentList>
    <comment ref="C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Ain:</t>
        </r>
        <r>
          <rPr>
            <sz val="9"/>
            <color indexed="81"/>
            <rFont val="Tahoma"/>
            <family val="2"/>
          </rPr>
          <t xml:space="preserve">
52 nädalat
5 tööpäeva nädalas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Ain</author>
  </authors>
  <commentList>
    <comment ref="R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Ain:</t>
        </r>
        <r>
          <rPr>
            <sz val="9"/>
            <color indexed="81"/>
            <rFont val="Tahoma"/>
            <family val="2"/>
          </rPr>
          <t xml:space="preserve">
Vedu 7-23 (16 tundi)
7 päeva nädalas
52 nädalat
kokku 5824 tundi</t>
        </r>
      </text>
    </comment>
    <comment ref="R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Ain:</t>
        </r>
        <r>
          <rPr>
            <sz val="9"/>
            <color indexed="81"/>
            <rFont val="Tahoma"/>
            <family val="2"/>
          </rPr>
          <t xml:space="preserve">
Andmed ettevõttest ja vanast projektist</t>
        </r>
      </text>
    </comment>
  </commentList>
</comments>
</file>

<file path=xl/sharedStrings.xml><?xml version="1.0" encoding="utf-8"?>
<sst xmlns="http://schemas.openxmlformats.org/spreadsheetml/2006/main" count="421" uniqueCount="245">
  <si>
    <t>Kütus</t>
  </si>
  <si>
    <t>Diislikütus</t>
  </si>
  <si>
    <t>m3</t>
  </si>
  <si>
    <t>Mahuti</t>
  </si>
  <si>
    <t>Bensiin</t>
  </si>
  <si>
    <t>Kütuse kogus</t>
  </si>
  <si>
    <t>t</t>
  </si>
  <si>
    <t>h</t>
  </si>
  <si>
    <t>h/a</t>
  </si>
  <si>
    <t>Kütuse mahutisse pumpamise aeg</t>
  </si>
  <si>
    <t>m3/h</t>
  </si>
  <si>
    <t>Mahuti maht</t>
  </si>
  <si>
    <t>Õhutusava kõrgus maapinnast</t>
  </si>
  <si>
    <t>Õhutusava läbimõõt</t>
  </si>
  <si>
    <t>m</t>
  </si>
  <si>
    <t>Temperatuur</t>
  </si>
  <si>
    <t>°C</t>
  </si>
  <si>
    <t>Joonkiirus</t>
  </si>
  <si>
    <t>m/s</t>
  </si>
  <si>
    <t>NR plaanil</t>
  </si>
  <si>
    <t>001</t>
  </si>
  <si>
    <t>002A</t>
  </si>
  <si>
    <t>002B</t>
  </si>
  <si>
    <t>t/a</t>
  </si>
  <si>
    <t>Kokku</t>
  </si>
  <si>
    <t>Töötunnid</t>
  </si>
  <si>
    <t>Kõrgus</t>
  </si>
  <si>
    <t>Ava</t>
  </si>
  <si>
    <t>Puhastus effektiivsus</t>
  </si>
  <si>
    <t>kg/t</t>
  </si>
  <si>
    <t>Põlevkivi kogus</t>
  </si>
  <si>
    <t>CO</t>
  </si>
  <si>
    <t>NO</t>
  </si>
  <si>
    <t>Pmsum</t>
  </si>
  <si>
    <t>0,001 – teisendustegur grammidest kilogrammideks;</t>
  </si>
  <si>
    <t>Sõidukite tankimisel välisõhku väljutatavate LOÜ heitkoguste määramine</t>
  </si>
  <si>
    <r>
      <t>Q – laadimiskäive vaadeldaval perioodil,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;</t>
    </r>
  </si>
  <si>
    <r>
      <t>Q – laadimiskäive vaadeldaval perioodil, m</t>
    </r>
    <r>
      <rPr>
        <vertAlign val="superscript"/>
        <sz val="8"/>
        <color rgb="FF202020"/>
        <rFont val="Calibri"/>
        <family val="2"/>
        <scheme val="minor"/>
      </rPr>
      <t>3</t>
    </r>
    <r>
      <rPr>
        <sz val="8"/>
        <color rgb="FF202020"/>
        <rFont val="Calibri"/>
        <family val="2"/>
        <scheme val="minor"/>
      </rPr>
      <t>;</t>
    </r>
  </si>
  <si>
    <r>
      <t>E</t>
    </r>
    <r>
      <rPr>
        <vertAlign val="subscript"/>
        <sz val="8"/>
        <color rgb="FF202020"/>
        <rFont val="Calibri"/>
        <family val="2"/>
        <scheme val="minor"/>
      </rPr>
      <t>A</t>
    </r>
    <r>
      <rPr>
        <sz val="8"/>
        <color rgb="FF202020"/>
        <rFont val="Calibri"/>
        <family val="2"/>
        <scheme val="minor"/>
      </rPr>
      <t> – eriheide, g/m</t>
    </r>
    <r>
      <rPr>
        <vertAlign val="superscript"/>
        <sz val="8"/>
        <color rgb="FF202020"/>
        <rFont val="Calibri"/>
        <family val="2"/>
        <scheme val="minor"/>
      </rPr>
      <t>3</t>
    </r>
    <r>
      <rPr>
        <sz val="8"/>
        <color rgb="FF202020"/>
        <rFont val="Calibri"/>
        <family val="2"/>
        <scheme val="minor"/>
      </rPr>
      <t>, käesoleva määruse lisas 5 esitatu kohaselt;</t>
    </r>
  </si>
  <si>
    <r>
      <t>E</t>
    </r>
    <r>
      <rPr>
        <vertAlign val="subscript"/>
        <sz val="8"/>
        <color rgb="FF202020"/>
        <rFont val="Calibri"/>
        <family val="2"/>
        <scheme val="minor"/>
      </rPr>
      <t>LK</t>
    </r>
    <r>
      <rPr>
        <sz val="8"/>
        <color rgb="FF202020"/>
        <rFont val="Calibri"/>
        <family val="2"/>
        <scheme val="minor"/>
      </rPr>
      <t> – eriheide, g/m</t>
    </r>
    <r>
      <rPr>
        <vertAlign val="superscript"/>
        <sz val="8"/>
        <color rgb="FF202020"/>
        <rFont val="Calibri"/>
        <family val="2"/>
        <scheme val="minor"/>
      </rPr>
      <t>3</t>
    </r>
    <r>
      <rPr>
        <sz val="8"/>
        <color rgb="FF202020"/>
        <rFont val="Calibri"/>
        <family val="2"/>
        <scheme val="minor"/>
      </rPr>
      <t>, käesoleva määruse lisas 5 esitatu kohaselt.</t>
    </r>
  </si>
  <si>
    <r>
      <t>L</t>
    </r>
    <r>
      <rPr>
        <vertAlign val="subscript"/>
        <sz val="12"/>
        <color theme="1"/>
        <rFont val="Calibri"/>
        <family val="2"/>
        <scheme val="minor"/>
      </rPr>
      <t>T</t>
    </r>
    <r>
      <rPr>
        <sz val="12"/>
        <color theme="1"/>
        <rFont val="Calibri"/>
        <family val="2"/>
        <scheme val="minor"/>
      </rPr>
      <t> = 0,001 x (E</t>
    </r>
    <r>
      <rPr>
        <vertAlign val="subscript"/>
        <sz val="12"/>
        <color theme="1"/>
        <rFont val="Calibri"/>
        <family val="2"/>
        <scheme val="minor"/>
      </rPr>
      <t>T</t>
    </r>
    <r>
      <rPr>
        <sz val="12"/>
        <color theme="1"/>
        <rFont val="Calibri"/>
        <family val="2"/>
        <scheme val="minor"/>
      </rPr>
      <t> + E</t>
    </r>
    <r>
      <rPr>
        <vertAlign val="subscript"/>
        <sz val="12"/>
        <color theme="1"/>
        <rFont val="Calibri"/>
        <family val="2"/>
        <scheme val="minor"/>
      </rPr>
      <t>H</t>
    </r>
    <r>
      <rPr>
        <sz val="12"/>
        <color theme="1"/>
        <rFont val="Calibri"/>
        <family val="2"/>
        <scheme val="minor"/>
      </rPr>
      <t>) x Q, kus</t>
    </r>
  </si>
  <si>
    <r>
      <t>L</t>
    </r>
    <r>
      <rPr>
        <vertAlign val="sub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> = 0,001 x (E</t>
    </r>
    <r>
      <rPr>
        <vertAlign val="sub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> + E</t>
    </r>
    <r>
      <rPr>
        <vertAlign val="subscript"/>
        <sz val="12"/>
        <color theme="1"/>
        <rFont val="Calibri"/>
        <family val="2"/>
        <scheme val="minor"/>
      </rPr>
      <t>LK</t>
    </r>
    <r>
      <rPr>
        <sz val="12"/>
        <color theme="1"/>
        <rFont val="Calibri"/>
        <family val="2"/>
        <scheme val="minor"/>
      </rPr>
      <t>) x Q, kus</t>
    </r>
  </si>
  <si>
    <r>
      <t>E</t>
    </r>
    <r>
      <rPr>
        <vertAlign val="subscript"/>
        <sz val="8"/>
        <color theme="1"/>
        <rFont val="Calibri"/>
        <family val="2"/>
        <scheme val="minor"/>
      </rPr>
      <t>T</t>
    </r>
    <r>
      <rPr>
        <sz val="8"/>
        <color theme="1"/>
        <rFont val="Calibri"/>
        <family val="2"/>
        <scheme val="minor"/>
      </rPr>
      <t> – eriheide, g/m</t>
    </r>
    <r>
      <rPr>
        <vertAlign val="superscript"/>
        <sz val="8"/>
        <color theme="1"/>
        <rFont val="Calibri"/>
        <family val="2"/>
        <scheme val="minor"/>
      </rPr>
      <t>3</t>
    </r>
    <r>
      <rPr>
        <sz val="8"/>
        <color theme="1"/>
        <rFont val="Calibri"/>
        <family val="2"/>
        <scheme val="minor"/>
      </rPr>
      <t>, käesoleva määruse lisas 4 esitatu kohaselt;</t>
    </r>
  </si>
  <si>
    <r>
      <t>E</t>
    </r>
    <r>
      <rPr>
        <vertAlign val="subscript"/>
        <sz val="8"/>
        <color theme="1"/>
        <rFont val="Calibri"/>
        <family val="2"/>
        <scheme val="minor"/>
      </rPr>
      <t>H</t>
    </r>
    <r>
      <rPr>
        <sz val="8"/>
        <color theme="1"/>
        <rFont val="Calibri"/>
        <family val="2"/>
        <scheme val="minor"/>
      </rPr>
      <t> – eriheide, g/m</t>
    </r>
    <r>
      <rPr>
        <vertAlign val="superscript"/>
        <sz val="8"/>
        <color theme="1"/>
        <rFont val="Calibri"/>
        <family val="2"/>
        <scheme val="minor"/>
      </rPr>
      <t>3</t>
    </r>
    <r>
      <rPr>
        <sz val="8"/>
        <color theme="1"/>
        <rFont val="Calibri"/>
        <family val="2"/>
        <scheme val="minor"/>
      </rPr>
      <t>, käesoleva määruse lisas 4 esitatu kohaselt.</t>
    </r>
  </si>
  <si>
    <t xml:space="preserve">Kütuse kogus </t>
  </si>
  <si>
    <t>Diislikütus 001</t>
  </si>
  <si>
    <t>Diislikütus 002A</t>
  </si>
  <si>
    <t xml:space="preserve">Lenduvad orgaanilised ühendid, kg </t>
  </si>
  <si>
    <r>
      <t>  </t>
    </r>
    <r>
      <rPr>
        <sz val="8"/>
        <color rgb="FF202020"/>
        <rFont val="Arial"/>
        <family val="2"/>
      </rPr>
      <t>(2) Aromaatsed süsivesinikud käesoleva määruse tähenduses on summaarselt benseen, tolueen, etüülbenseen ja ksüleen.</t>
    </r>
  </si>
  <si>
    <t>Naftasaaduste laadimisel ja soojustamata mahutite hingamisel välisõhku väljutatavate aromaatsete süsivesinike heitkoguste määramine</t>
  </si>
  <si>
    <t>PMsum</t>
  </si>
  <si>
    <t>L</t>
  </si>
  <si>
    <t>Aromaatsed süsivesinikud, kg</t>
  </si>
  <si>
    <t>Tihedus</t>
  </si>
  <si>
    <t>T1</t>
  </si>
  <si>
    <t>T2</t>
  </si>
  <si>
    <t>T3</t>
  </si>
  <si>
    <t>Mahuti täitmine</t>
  </si>
  <si>
    <t>Lenduvad orgaanilised ühendid, g/s</t>
  </si>
  <si>
    <t>Aromaatsed süsivesinikud, g/s</t>
  </si>
  <si>
    <t>Tankimise kiirus, l/min</t>
  </si>
  <si>
    <t>l</t>
  </si>
  <si>
    <t>s</t>
  </si>
  <si>
    <t>tundi</t>
  </si>
  <si>
    <t>m2</t>
  </si>
  <si>
    <t>Fortis Advantage (pumbatav), t/a</t>
  </si>
  <si>
    <t>Senatel Powerfrag (padrundatud), t/a</t>
  </si>
  <si>
    <t>Kokku, t/a</t>
  </si>
  <si>
    <t>Paekivi tihedus, t/m3</t>
  </si>
  <si>
    <t>Sügavus (max)</t>
  </si>
  <si>
    <t>https://www.canada.ca/en/environment-climate-change/services/national-pollutant-release-inventory/report/pits-quarries-guide.html</t>
  </si>
  <si>
    <t>PM10</t>
  </si>
  <si>
    <t>PM2.5</t>
  </si>
  <si>
    <t>630-08-0</t>
  </si>
  <si>
    <t>10102-44-0</t>
  </si>
  <si>
    <t>Osakesed</t>
  </si>
  <si>
    <t>Eriti peened osakesed</t>
  </si>
  <si>
    <t>Süsinikoksiid</t>
  </si>
  <si>
    <t>Lämmastikdioksiid</t>
  </si>
  <si>
    <t>Tehnoloogiline protsess</t>
  </si>
  <si>
    <t>Nr plaanil või kaardil</t>
  </si>
  <si>
    <t xml:space="preserve">Tahkete osakeste eriheide q, kg/t </t>
  </si>
  <si>
    <t>Aastane heitkogus Mp, t/a</t>
  </si>
  <si>
    <t>Hetkeline heitkogus Mpi, g/s</t>
  </si>
  <si>
    <t>Lõhatava ala pikkus</t>
  </si>
  <si>
    <t>Lõhatava ala laius</t>
  </si>
  <si>
    <t>Lõhatava ala pindala</t>
  </si>
  <si>
    <t>tk</t>
  </si>
  <si>
    <t>Kukkumise eriheide kg/t:</t>
  </si>
  <si>
    <t>tuule kiirus</t>
  </si>
  <si>
    <t>niisukuse %</t>
  </si>
  <si>
    <t>%</t>
  </si>
  <si>
    <t>k_pmsum=</t>
  </si>
  <si>
    <t>&lt;30µm</t>
  </si>
  <si>
    <t>https://www3.epa.gov/ttn/chief/ap42/ch13/final/c13s0204.pdf</t>
  </si>
  <si>
    <t>k_pm10=</t>
  </si>
  <si>
    <t>&lt;10µm</t>
  </si>
  <si>
    <t>k_pm2.5=</t>
  </si>
  <si>
    <t>eriheide PMsum</t>
  </si>
  <si>
    <t>eriheide PM10</t>
  </si>
  <si>
    <t>eriheide PM2.5</t>
  </si>
  <si>
    <t>https://www3.epa.gov/ttn/chief/ap42/ch11/final/c11s1902.pdf</t>
  </si>
  <si>
    <t>Tegevus</t>
  </si>
  <si>
    <t>PMsum (Uncontrolled)</t>
  </si>
  <si>
    <t>PM10 (Uncontrolled)</t>
  </si>
  <si>
    <t>PM2.5 (Uncontrolled)</t>
  </si>
  <si>
    <t>PMsum (Controlled)</t>
  </si>
  <si>
    <t>PM10 (Controlled)</t>
  </si>
  <si>
    <t>PM2.5 (Controlled)</t>
  </si>
  <si>
    <t>Purustamine</t>
  </si>
  <si>
    <t>Põlevkivi kogus, t/a</t>
  </si>
  <si>
    <t>Purustamine eriheited kg/t:</t>
  </si>
  <si>
    <t xml:space="preserve">Materjali kogus, t/a </t>
  </si>
  <si>
    <t>Kukkumine autotranspordilt</t>
  </si>
  <si>
    <t>Kukkumine purustisse (kopp)</t>
  </si>
  <si>
    <t>Asp. Süst nr 272 (tsükloniga)</t>
  </si>
  <si>
    <t>Asp. Süst nr 273 (tsükloniga)</t>
  </si>
  <si>
    <t>Kukkumine vagunitesse</t>
  </si>
  <si>
    <t>V2</t>
  </si>
  <si>
    <t>V3</t>
  </si>
  <si>
    <t>V4</t>
  </si>
  <si>
    <t>V5</t>
  </si>
  <si>
    <t>Tööaeg</t>
  </si>
  <si>
    <t>Lõhkamine</t>
  </si>
  <si>
    <t>Korraga lõhatav materjal</t>
  </si>
  <si>
    <t>Lõhkamise eriheited</t>
  </si>
  <si>
    <t>Lõhkamiste arv, tk/a</t>
  </si>
  <si>
    <t>PM2,5</t>
  </si>
  <si>
    <t>Ühe lõhkamise jaoks vajaminevate aukude arv, tk</t>
  </si>
  <si>
    <r>
      <t>  </t>
    </r>
    <r>
      <rPr>
        <sz val="8"/>
        <color rgb="FF202020"/>
        <rFont val="Arial"/>
        <family val="2"/>
      </rPr>
      <t>(1) Naftasaaduste ja põlevkiviõli laadimisel ning soojustamata mahutite hingamisel välisõhku väljutatavate aromaatsete süsivesinike summaarse heitkoguse määramiseks täpsemate andmete puudumise korral korrutatakse arvutatud lenduvate orgaaniliste ühendite summaarne heitkogus koefitsiendiga 0.03</t>
    </r>
  </si>
  <si>
    <t>𝑁ℎ𝑜𝑙𝑒</t>
  </si>
  <si>
    <t>𝑆</t>
  </si>
  <si>
    <t>𝑁𝑏𝑙𝑎𝑠𝑡</t>
  </si>
  <si>
    <t>lõhatav pindala, m2</t>
  </si>
  <si>
    <t>koefitsent, kg/plahvatus/m3</t>
  </si>
  <si>
    <t>kd-TSP</t>
  </si>
  <si>
    <t>kd-PM10</t>
  </si>
  <si>
    <t>kd-PM2.5</t>
  </si>
  <si>
    <t>ksf-PM10</t>
  </si>
  <si>
    <t>kb</t>
  </si>
  <si>
    <t>ksf-PM2.5</t>
  </si>
  <si>
    <t>mastaabitegur</t>
  </si>
  <si>
    <t>eriheide, kg/auk</t>
  </si>
  <si>
    <t>Puuritavate aukude arv aastas, tk</t>
  </si>
  <si>
    <t xml:space="preserve">𝐸𝑇𝑆𝑃=𝑘𝑑−𝑇𝑆𝑃×𝑁ℎ𝑜𝑙𝑒+𝑘𝑏 × 𝑆^1.5×𝑁𝑏𝑙𝑎𝑠𝑡 </t>
  </si>
  <si>
    <t xml:space="preserve">𝐸𝑃𝑀10=𝑘𝑑−𝑃𝑀10×𝑁ℎ𝑜𝑙𝑒+𝑘𝑏×𝑘𝑠𝑓−𝑃𝑀10× 𝑆^1.5×𝑁𝑏𝑙𝑎𝑠𝑡 </t>
  </si>
  <si>
    <t>𝐸𝑃𝑀2.5=𝑘𝑑−𝑃𝑀2.5×𝑁ℎ𝑜𝑙𝑒+𝑘𝑏×𝑘𝑠𝑓−𝑃𝑀2.5× 𝑆^1.5×𝑁𝑏𝑙𝑎𝑠𝑡</t>
  </si>
  <si>
    <t>3.3.1</t>
  </si>
  <si>
    <t>Saasteaine</t>
  </si>
  <si>
    <t>g/s</t>
  </si>
  <si>
    <t xml:space="preserve">Puurmasinate arv </t>
  </si>
  <si>
    <t>Töönadalaid, tk</t>
  </si>
  <si>
    <t>Tööpäevi, tk</t>
  </si>
  <si>
    <t>Tunde ööpäevas</t>
  </si>
  <si>
    <t>Tööaeg ühel masinal</t>
  </si>
  <si>
    <t>Töötundide arv aastas</t>
  </si>
  <si>
    <t>SO2</t>
  </si>
  <si>
    <t>Üks lõhkamine</t>
  </si>
  <si>
    <t>puuritavate aukude arv</t>
  </si>
  <si>
    <t xml:space="preserve">tundi kulub 960 augu puurimine </t>
  </si>
  <si>
    <t>plahvatuste arv , tk</t>
  </si>
  <si>
    <t>Aastas tunde</t>
  </si>
  <si>
    <t>Kokku, kg</t>
  </si>
  <si>
    <t>Sõidukite tankimisaja arvutus</t>
  </si>
  <si>
    <t>Tankla</t>
  </si>
  <si>
    <t>Lenduvad orgaanilised ühendid, t</t>
  </si>
  <si>
    <t>Aromaatsed süsivesinikud, t</t>
  </si>
  <si>
    <t>Narva jaam</t>
  </si>
  <si>
    <t>NMHC</t>
  </si>
  <si>
    <t>Lenduvad orgaanilised ühendid (välja arvatud metaan)</t>
  </si>
  <si>
    <t>7446-09-5</t>
  </si>
  <si>
    <t>Vääveldioksiid</t>
  </si>
  <si>
    <t>Peenosakesed PM10</t>
  </si>
  <si>
    <t>Aromaatsed süsivesinikud</t>
  </si>
  <si>
    <t>tonni üks lõhkamine</t>
  </si>
  <si>
    <t>Lenduvad orgaanilised ühendid tonnides</t>
  </si>
  <si>
    <t>Aromaatsed süsivesinikud tonnides</t>
  </si>
  <si>
    <t>Lenduvad orgaanilised ühendid g/s</t>
  </si>
  <si>
    <t>Aromaatsed süsivesinikud g/s</t>
  </si>
  <si>
    <t>V2 Laoplats</t>
  </si>
  <si>
    <t>V1</t>
  </si>
  <si>
    <t>kokku g/s</t>
  </si>
  <si>
    <t>Saasteaine kõik kokku</t>
  </si>
  <si>
    <t>Naftasaaduste ja põlevkiviõli laadimisel ning hoiustamisel välisõhku väljutavate saasteainete heitkoguste määramise meetodid</t>
  </si>
  <si>
    <t>Vastu võetud 01.06.2020 nr 31</t>
  </si>
  <si>
    <r>
      <t>Bensiini ja diislikütuse laadimisel teenindusjaama mahutitesse ja teenindusjaama mahutite hingamisel välisõhku väljutatavate lenduvate orgaaniliste ühendite heitkogus (L</t>
    </r>
    <r>
      <rPr>
        <b/>
        <vertAlign val="subscript"/>
        <sz val="11"/>
        <color rgb="FF202020"/>
        <rFont val="Calibri"/>
        <family val="2"/>
        <scheme val="minor"/>
      </rPr>
      <t>t</t>
    </r>
    <r>
      <rPr>
        <b/>
        <sz val="11"/>
        <color rgb="FF202020"/>
        <rFont val="Calibri"/>
        <family val="2"/>
        <scheme val="minor"/>
      </rPr>
      <t>) kilogrammides arvutatakse järgmist valemit kasutades:</t>
    </r>
  </si>
  <si>
    <r>
      <t xml:space="preserve">Hollandi metoodika: </t>
    </r>
    <r>
      <rPr>
        <i/>
        <sz val="11.5"/>
        <color theme="1"/>
        <rFont val="Calibri"/>
        <family val="2"/>
        <scheme val="minor"/>
      </rPr>
      <t>Air pollutant emissions from stationary installations using bioenergy in the Netherlands, BOLK Phase 2. Netherlands Environmental Assessment Agency/Planbureau voor de Leefomgeving (PBL). November 2009.</t>
    </r>
    <r>
      <rPr>
        <sz val="11.5"/>
        <color theme="1"/>
        <rFont val="Calibri"/>
        <family val="2"/>
        <scheme val="minor"/>
      </rPr>
      <t xml:space="preserve"> </t>
    </r>
  </si>
  <si>
    <t>Biokütuse kogus</t>
  </si>
  <si>
    <t>Veoki maht</t>
  </si>
  <si>
    <t>PM10 eriheide</t>
  </si>
  <si>
    <t>PMsum eriheide</t>
  </si>
  <si>
    <t>g/t</t>
  </si>
  <si>
    <r>
      <t>t/a = biokütuse kogus t/a * eriheide g/t / 10</t>
    </r>
    <r>
      <rPr>
        <sz val="11"/>
        <color theme="1"/>
        <rFont val="Calibri"/>
        <family val="2"/>
      </rPr>
      <t>⁶</t>
    </r>
  </si>
  <si>
    <t>PMsum =</t>
  </si>
  <si>
    <t>PM10 =</t>
  </si>
  <si>
    <t>Aastase heitkoguse arvutamiseks kasutame valemit:</t>
  </si>
  <si>
    <t>Hetkelise heitkoguse arvutamiseks kasutame valemit:</t>
  </si>
  <si>
    <t>g/s = Biokütuse kogus t/a * eriheide g/t /tööaeg h/a /3600</t>
  </si>
  <si>
    <t>Biokütuseladu</t>
  </si>
  <si>
    <t>V8</t>
  </si>
  <si>
    <t xml:space="preserve">  </t>
  </si>
  <si>
    <t>x</t>
  </si>
  <si>
    <t>y</t>
  </si>
  <si>
    <t>g/s m2</t>
  </si>
  <si>
    <t>t/m3</t>
  </si>
  <si>
    <t>Masina tootlikus kuni</t>
  </si>
  <si>
    <t>Segapuit</t>
  </si>
  <si>
    <t>Puidu purustamine</t>
  </si>
  <si>
    <t>Tähis</t>
  </si>
  <si>
    <t>Näitaja</t>
  </si>
  <si>
    <t>Kogus</t>
  </si>
  <si>
    <t>Ühik</t>
  </si>
  <si>
    <t>A</t>
  </si>
  <si>
    <t>Purustatav puidu kogus</t>
  </si>
  <si>
    <t>B</t>
  </si>
  <si>
    <t>Puidu niiskussisaldus</t>
  </si>
  <si>
    <t>C=A-A*B/100</t>
  </si>
  <si>
    <t>Kuiva puidu kogus</t>
  </si>
  <si>
    <t>D</t>
  </si>
  <si>
    <t>Purusti tööaeg</t>
  </si>
  <si>
    <t>E</t>
  </si>
  <si>
    <t>PM-sum eriheide</t>
  </si>
  <si>
    <t>F</t>
  </si>
  <si>
    <t>G</t>
  </si>
  <si>
    <t>PM2.5 eriheide</t>
  </si>
  <si>
    <r>
      <t>C*E/10</t>
    </r>
    <r>
      <rPr>
        <vertAlign val="superscript"/>
        <sz val="11.5"/>
        <color theme="1"/>
        <rFont val="Calibri"/>
        <family val="2"/>
      </rPr>
      <t>3</t>
    </r>
  </si>
  <si>
    <t>PM-sum</t>
  </si>
  <si>
    <r>
      <t>C*F/10</t>
    </r>
    <r>
      <rPr>
        <vertAlign val="superscript"/>
        <sz val="11.5"/>
        <color theme="1"/>
        <rFont val="Calibri"/>
        <family val="2"/>
      </rPr>
      <t>3</t>
    </r>
  </si>
  <si>
    <r>
      <t>C*G/10</t>
    </r>
    <r>
      <rPr>
        <vertAlign val="superscript"/>
        <sz val="11.5"/>
        <color theme="1"/>
        <rFont val="Calibri"/>
        <family val="2"/>
      </rPr>
      <t>3</t>
    </r>
  </si>
  <si>
    <t>C*E/D*1000/3600</t>
  </si>
  <si>
    <t>C*F/D*1000/3600</t>
  </si>
  <si>
    <t>C*G/D*1000/3600</t>
  </si>
  <si>
    <t>https://keskkonnaamet.ee/keskkonnakasutus-keskkonnatasu/ohk-ja-kliima/ohusaasteluba#juhendid-ja-abimater</t>
  </si>
  <si>
    <t>Puidu kogus</t>
  </si>
  <si>
    <t>m3/a</t>
  </si>
  <si>
    <t xml:space="preserve">Puidu kogus </t>
  </si>
  <si>
    <t>Puiduhake</t>
  </si>
  <si>
    <t>Eriheite arvutamiseks kasutame valemit:</t>
  </si>
  <si>
    <t>q = k * (0,0016) * ( U/2,2) 1,3 / (M / 2) 1,4 , kus:</t>
  </si>
  <si>
    <t>q – eriheide, kg/t</t>
  </si>
  <si>
    <t>k – osakese suuruse kordaja</t>
  </si>
  <si>
    <t>U – tuule keskmine kiirus, m/s</t>
  </si>
  <si>
    <t>M – materjali niiskuse sisalduse, %</t>
  </si>
  <si>
    <t>Hakkepuidu kukkumine autole</t>
  </si>
  <si>
    <t>V9 Kokku purustamine koos autole laadimisega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</si>
</sst>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00"/>
    <numFmt numFmtId="165" formatCode="0.0"/>
    <numFmt numFmtId="166" formatCode="0.0000000"/>
    <numFmt numFmtId="167" formatCode="0.000000"/>
    <numFmt numFmtId="168" formatCode="0.00000"/>
    <numFmt numFmtId="169" formatCode="0.0000"/>
    <numFmt numFmtId="170" formatCode="#,##0.00000000"/>
    <numFmt numFmtId="171" formatCode="_-* #,##0.00\ _k_r_-;\-* #,##0.00\ _k_r_-;_-* &quot;-&quot;??\ _k_r_-;_-@_-"/>
  </numFmts>
  <fonts count="62" x14ac:knownFonts="1">
    <font>
      <sz val="11"/>
      <color theme="1"/>
      <name val="Calibri"/>
      <family val="2"/>
      <scheme val="minor"/>
    </font>
    <font>
      <sz val="8"/>
      <color rgb="FF202020"/>
      <name val="Arial"/>
      <family val="2"/>
    </font>
    <font>
      <sz val="8"/>
      <color rgb="FF0061AA"/>
      <name val="Arial"/>
      <family val="2"/>
    </font>
    <font>
      <b/>
      <sz val="10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rgb="FF20202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202020"/>
      <name val="Calibri"/>
      <family val="2"/>
      <scheme val="minor"/>
    </font>
    <font>
      <vertAlign val="superscript"/>
      <sz val="8"/>
      <color rgb="FF202020"/>
      <name val="Calibri"/>
      <family val="2"/>
      <scheme val="minor"/>
    </font>
    <font>
      <vertAlign val="subscript"/>
      <sz val="8"/>
      <color rgb="FF202020"/>
      <name val="Calibri"/>
      <family val="2"/>
      <scheme val="minor"/>
    </font>
    <font>
      <b/>
      <sz val="12"/>
      <color rgb="FF20202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8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u/>
      <sz val="10"/>
      <color theme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  <scheme val="minor"/>
    </font>
    <font>
      <b/>
      <sz val="12"/>
      <color rgb="FF000000"/>
      <name val="Arial"/>
      <family val="2"/>
    </font>
    <font>
      <b/>
      <sz val="11"/>
      <color rgb="FF202020"/>
      <name val="Calibri"/>
      <family val="2"/>
      <scheme val="minor"/>
    </font>
    <font>
      <b/>
      <vertAlign val="subscript"/>
      <sz val="11"/>
      <color rgb="FF20202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charset val="186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  <charset val="186"/>
    </font>
    <font>
      <sz val="11"/>
      <color rgb="FF000000"/>
      <name val="Calibri"/>
      <family val="2"/>
    </font>
    <font>
      <sz val="11"/>
      <name val="Arial"/>
      <family val="1"/>
    </font>
    <font>
      <sz val="10"/>
      <name val="Arial"/>
      <family val="2"/>
    </font>
    <font>
      <sz val="11.5"/>
      <color theme="1"/>
      <name val="Calibri"/>
      <family val="2"/>
      <scheme val="minor"/>
    </font>
    <font>
      <i/>
      <sz val="11.5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1.5"/>
      <color theme="1"/>
      <name val="Calibri"/>
      <family val="2"/>
    </font>
    <font>
      <sz val="11"/>
      <name val="Calibri"/>
      <family val="2"/>
    </font>
    <font>
      <vertAlign val="superscript"/>
      <sz val="11.5"/>
      <color theme="1"/>
      <name val="Calibri"/>
      <family val="2"/>
    </font>
    <font>
      <sz val="11.5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  <charset val="186"/>
    </font>
    <font>
      <u/>
      <sz val="11"/>
      <color rgb="FF0000FF"/>
      <name val="Calibri"/>
      <family val="2"/>
      <charset val="186"/>
    </font>
    <font>
      <b/>
      <sz val="10"/>
      <color rgb="FF000000"/>
      <name val="Calibri"/>
      <family val="2"/>
      <charset val="186"/>
    </font>
    <font>
      <sz val="10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20" fillId="0" borderId="0" applyNumberFormat="0" applyFill="0" applyBorder="0" applyAlignment="0" applyProtection="0"/>
    <xf numFmtId="0" fontId="36" fillId="0" borderId="0"/>
    <xf numFmtId="0" fontId="20" fillId="0" borderId="0" applyNumberFormat="0" applyFill="0" applyBorder="0" applyAlignment="0" applyProtection="0"/>
    <xf numFmtId="171" fontId="37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0" fontId="42" fillId="0" borderId="0"/>
    <xf numFmtId="0" fontId="43" fillId="0" borderId="0"/>
    <xf numFmtId="0" fontId="4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4" fillId="0" borderId="0"/>
    <xf numFmtId="0" fontId="44" fillId="0" borderId="0"/>
    <xf numFmtId="0" fontId="35" fillId="0" borderId="0"/>
    <xf numFmtId="0" fontId="45" fillId="0" borderId="0"/>
    <xf numFmtId="0" fontId="44" fillId="0" borderId="0"/>
    <xf numFmtId="0" fontId="44" fillId="0" borderId="0"/>
    <xf numFmtId="0" fontId="35" fillId="0" borderId="0"/>
    <xf numFmtId="0" fontId="42" fillId="0" borderId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3" fillId="0" borderId="0" xfId="0" applyFont="1"/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5" fillId="0" borderId="0" xfId="0" applyFont="1"/>
    <xf numFmtId="0" fontId="6" fillId="0" borderId="1" xfId="0" applyFont="1" applyBorder="1"/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2" borderId="1" xfId="0" applyFont="1" applyFill="1" applyBorder="1"/>
    <xf numFmtId="0" fontId="8" fillId="4" borderId="1" xfId="0" applyFont="1" applyFill="1" applyBorder="1"/>
    <xf numFmtId="16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2" fillId="0" borderId="0" xfId="0" applyFont="1"/>
    <xf numFmtId="0" fontId="16" fillId="0" borderId="0" xfId="0" applyFont="1"/>
    <xf numFmtId="165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164" fontId="0" fillId="0" borderId="0" xfId="0" applyNumberFormat="1" applyAlignment="1">
      <alignment horizontal="center" vertical="center"/>
    </xf>
    <xf numFmtId="165" fontId="0" fillId="0" borderId="0" xfId="0" applyNumberFormat="1"/>
    <xf numFmtId="0" fontId="0" fillId="0" borderId="4" xfId="0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165" fontId="0" fillId="0" borderId="11" xfId="0" applyNumberFormat="1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168" fontId="0" fillId="4" borderId="1" xfId="0" applyNumberFormat="1" applyFill="1" applyBorder="1" applyAlignment="1">
      <alignment horizontal="center" vertical="center"/>
    </xf>
    <xf numFmtId="169" fontId="0" fillId="4" borderId="1" xfId="0" applyNumberFormat="1" applyFill="1" applyBorder="1" applyAlignment="1">
      <alignment horizontal="center" vertical="center"/>
    </xf>
    <xf numFmtId="1" fontId="0" fillId="0" borderId="0" xfId="0" applyNumberFormat="1"/>
    <xf numFmtId="1" fontId="0" fillId="0" borderId="14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" fontId="0" fillId="0" borderId="13" xfId="0" applyNumberFormat="1" applyBorder="1"/>
    <xf numFmtId="1" fontId="0" fillId="0" borderId="8" xfId="0" applyNumberFormat="1" applyBorder="1"/>
    <xf numFmtId="169" fontId="0" fillId="4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19" fillId="0" borderId="0" xfId="0" applyFont="1"/>
    <xf numFmtId="0" fontId="21" fillId="0" borderId="0" xfId="1" applyFont="1"/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 vertical="center"/>
    </xf>
    <xf numFmtId="0" fontId="20" fillId="0" borderId="0" xfId="1"/>
    <xf numFmtId="168" fontId="0" fillId="0" borderId="1" xfId="0" applyNumberForma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/>
    <xf numFmtId="0" fontId="19" fillId="0" borderId="4" xfId="0" applyFont="1" applyBorder="1"/>
    <xf numFmtId="0" fontId="19" fillId="0" borderId="9" xfId="0" applyFont="1" applyBorder="1"/>
    <xf numFmtId="0" fontId="16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center"/>
    </xf>
    <xf numFmtId="168" fontId="0" fillId="0" borderId="6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169" fontId="19" fillId="0" borderId="0" xfId="0" applyNumberFormat="1" applyFont="1"/>
    <xf numFmtId="169" fontId="0" fillId="0" borderId="0" xfId="0" applyNumberFormat="1"/>
    <xf numFmtId="0" fontId="23" fillId="0" borderId="0" xfId="0" applyFont="1" applyAlignment="1">
      <alignment horizontal="left"/>
    </xf>
    <xf numFmtId="164" fontId="0" fillId="0" borderId="0" xfId="0" applyNumberFormat="1"/>
    <xf numFmtId="0" fontId="28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49" fontId="0" fillId="0" borderId="4" xfId="0" applyNumberFormat="1" applyBorder="1" applyAlignment="1">
      <alignment horizontal="right"/>
    </xf>
    <xf numFmtId="0" fontId="0" fillId="0" borderId="7" xfId="0" applyBorder="1"/>
    <xf numFmtId="0" fontId="0" fillId="0" borderId="5" xfId="0" applyBorder="1"/>
    <xf numFmtId="0" fontId="17" fillId="3" borderId="1" xfId="0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/>
    </xf>
    <xf numFmtId="170" fontId="0" fillId="0" borderId="0" xfId="0" applyNumberFormat="1"/>
    <xf numFmtId="0" fontId="17" fillId="0" borderId="0" xfId="0" applyFont="1"/>
    <xf numFmtId="49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4" fontId="17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30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/>
    </xf>
    <xf numFmtId="0" fontId="31" fillId="0" borderId="1" xfId="0" applyFont="1" applyBorder="1" applyAlignment="1">
      <alignment horizontal="left" vertical="center"/>
    </xf>
    <xf numFmtId="0" fontId="0" fillId="2" borderId="3" xfId="0" applyFill="1" applyBorder="1"/>
    <xf numFmtId="0" fontId="16" fillId="2" borderId="2" xfId="0" applyFont="1" applyFill="1" applyBorder="1"/>
    <xf numFmtId="0" fontId="16" fillId="2" borderId="1" xfId="0" applyFont="1" applyFill="1" applyBorder="1" applyAlignment="1">
      <alignment vertical="center"/>
    </xf>
    <xf numFmtId="0" fontId="29" fillId="0" borderId="1" xfId="0" applyFont="1" applyBorder="1" applyAlignment="1">
      <alignment wrapText="1"/>
    </xf>
    <xf numFmtId="168" fontId="29" fillId="0" borderId="1" xfId="0" applyNumberFormat="1" applyFont="1" applyBorder="1"/>
    <xf numFmtId="0" fontId="22" fillId="2" borderId="1" xfId="0" applyFont="1" applyFill="1" applyBorder="1"/>
    <xf numFmtId="0" fontId="22" fillId="2" borderId="1" xfId="0" applyFont="1" applyFill="1" applyBorder="1" applyAlignment="1">
      <alignment wrapText="1"/>
    </xf>
    <xf numFmtId="0" fontId="23" fillId="2" borderId="1" xfId="0" applyFont="1" applyFill="1" applyBorder="1" applyAlignment="1">
      <alignment wrapText="1"/>
    </xf>
    <xf numFmtId="11" fontId="0" fillId="0" borderId="0" xfId="0" applyNumberFormat="1"/>
    <xf numFmtId="164" fontId="0" fillId="0" borderId="1" xfId="0" applyNumberFormat="1" applyBorder="1" applyAlignment="1">
      <alignment horizontal="right"/>
    </xf>
    <xf numFmtId="164" fontId="0" fillId="0" borderId="1" xfId="0" applyNumberFormat="1" applyBorder="1"/>
    <xf numFmtId="0" fontId="19" fillId="4" borderId="1" xfId="0" applyFont="1" applyFill="1" applyBorder="1"/>
    <xf numFmtId="0" fontId="0" fillId="2" borderId="2" xfId="0" applyFill="1" applyBorder="1" applyAlignment="1">
      <alignment horizontal="center"/>
    </xf>
    <xf numFmtId="0" fontId="0" fillId="0" borderId="11" xfId="0" applyBorder="1"/>
    <xf numFmtId="168" fontId="0" fillId="0" borderId="11" xfId="0" applyNumberFormat="1" applyBorder="1"/>
    <xf numFmtId="169" fontId="0" fillId="4" borderId="1" xfId="0" applyNumberFormat="1" applyFill="1" applyBorder="1"/>
    <xf numFmtId="0" fontId="19" fillId="2" borderId="1" xfId="0" applyFont="1" applyFill="1" applyBorder="1"/>
    <xf numFmtId="164" fontId="0" fillId="4" borderId="1" xfId="0" applyNumberFormat="1" applyFill="1" applyBorder="1"/>
    <xf numFmtId="164" fontId="17" fillId="0" borderId="1" xfId="0" applyNumberFormat="1" applyFont="1" applyBorder="1" applyAlignment="1">
      <alignment horizontal="center" vertical="center"/>
    </xf>
    <xf numFmtId="164" fontId="17" fillId="0" borderId="6" xfId="0" applyNumberFormat="1" applyFont="1" applyBorder="1" applyAlignment="1">
      <alignment horizontal="center" vertical="center"/>
    </xf>
    <xf numFmtId="164" fontId="19" fillId="0" borderId="0" xfId="0" applyNumberFormat="1" applyFont="1"/>
    <xf numFmtId="164" fontId="0" fillId="4" borderId="1" xfId="0" applyNumberFormat="1" applyFill="1" applyBorder="1" applyAlignment="1">
      <alignment horizontal="right"/>
    </xf>
    <xf numFmtId="0" fontId="32" fillId="0" borderId="0" xfId="0" applyFont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left"/>
    </xf>
    <xf numFmtId="0" fontId="17" fillId="0" borderId="5" xfId="0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horizontal="left" vertical="top" wrapText="1"/>
    </xf>
    <xf numFmtId="0" fontId="46" fillId="0" borderId="0" xfId="0" applyFont="1" applyAlignment="1">
      <alignment horizontal="justify" vertical="top"/>
    </xf>
    <xf numFmtId="0" fontId="46" fillId="0" borderId="1" xfId="0" applyFont="1" applyBorder="1"/>
    <xf numFmtId="0" fontId="49" fillId="0" borderId="0" xfId="0" applyFont="1"/>
    <xf numFmtId="164" fontId="0" fillId="5" borderId="1" xfId="0" applyNumberFormat="1" applyFill="1" applyBorder="1"/>
    <xf numFmtId="169" fontId="0" fillId="5" borderId="1" xfId="0" applyNumberFormat="1" applyFill="1" applyBorder="1"/>
    <xf numFmtId="164" fontId="0" fillId="5" borderId="5" xfId="0" applyNumberFormat="1" applyFill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169" fontId="0" fillId="0" borderId="6" xfId="0" applyNumberForma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64" fontId="28" fillId="0" borderId="0" xfId="0" applyNumberFormat="1" applyFont="1"/>
    <xf numFmtId="0" fontId="28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169" fontId="17" fillId="0" borderId="0" xfId="0" applyNumberFormat="1" applyFont="1"/>
    <xf numFmtId="49" fontId="17" fillId="0" borderId="0" xfId="0" applyNumberFormat="1" applyFont="1"/>
    <xf numFmtId="164" fontId="17" fillId="0" borderId="0" xfId="0" applyNumberFormat="1" applyFont="1"/>
    <xf numFmtId="169" fontId="0" fillId="4" borderId="2" xfId="0" applyNumberFormat="1" applyFill="1" applyBorder="1" applyAlignment="1">
      <alignment horizontal="right"/>
    </xf>
    <xf numFmtId="169" fontId="17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168" fontId="0" fillId="0" borderId="1" xfId="0" applyNumberFormat="1" applyBorder="1"/>
    <xf numFmtId="0" fontId="36" fillId="0" borderId="1" xfId="2" applyBorder="1"/>
    <xf numFmtId="0" fontId="36" fillId="0" borderId="1" xfId="2" applyBorder="1" applyAlignment="1">
      <alignment horizontal="center"/>
    </xf>
    <xf numFmtId="0" fontId="36" fillId="0" borderId="1" xfId="2" applyBorder="1" applyAlignment="1">
      <alignment horizontal="right"/>
    </xf>
    <xf numFmtId="0" fontId="36" fillId="3" borderId="1" xfId="2" applyFill="1" applyBorder="1"/>
    <xf numFmtId="0" fontId="0" fillId="6" borderId="1" xfId="0" applyFill="1" applyBorder="1" applyAlignment="1">
      <alignment horizontal="center"/>
    </xf>
    <xf numFmtId="0" fontId="50" fillId="7" borderId="1" xfId="0" applyFont="1" applyFill="1" applyBorder="1" applyAlignment="1">
      <alignment horizontal="justify" vertical="top" wrapText="1"/>
    </xf>
    <xf numFmtId="1" fontId="50" fillId="3" borderId="1" xfId="0" applyNumberFormat="1" applyFont="1" applyFill="1" applyBorder="1" applyAlignment="1">
      <alignment horizontal="right" vertical="top" wrapText="1"/>
    </xf>
    <xf numFmtId="0" fontId="50" fillId="7" borderId="1" xfId="0" applyFont="1" applyFill="1" applyBorder="1" applyAlignment="1">
      <alignment horizontal="center" vertical="top" wrapText="1"/>
    </xf>
    <xf numFmtId="0" fontId="50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right" vertical="top" wrapText="1"/>
    </xf>
    <xf numFmtId="0" fontId="51" fillId="0" borderId="1" xfId="7" applyFont="1" applyFill="1" applyBorder="1" applyAlignment="1" applyProtection="1">
      <alignment horizontal="justify" vertical="top" wrapText="1"/>
    </xf>
    <xf numFmtId="1" fontId="50" fillId="0" borderId="1" xfId="0" applyNumberFormat="1" applyFont="1" applyBorder="1" applyAlignment="1">
      <alignment horizontal="right" vertical="top" wrapText="1"/>
    </xf>
    <xf numFmtId="0" fontId="43" fillId="0" borderId="1" xfId="0" applyFont="1" applyBorder="1" applyAlignment="1">
      <alignment horizontal="justify" wrapText="1"/>
    </xf>
    <xf numFmtId="0" fontId="43" fillId="0" borderId="1" xfId="0" applyFont="1" applyBorder="1" applyAlignment="1">
      <alignment horizontal="right" wrapText="1"/>
    </xf>
    <xf numFmtId="164" fontId="53" fillId="5" borderId="1" xfId="0" applyNumberFormat="1" applyFont="1" applyFill="1" applyBorder="1" applyAlignment="1">
      <alignment horizontal="right" wrapText="1"/>
    </xf>
    <xf numFmtId="0" fontId="36" fillId="0" borderId="0" xfId="2"/>
    <xf numFmtId="0" fontId="36" fillId="0" borderId="0" xfId="2" applyAlignment="1">
      <alignment horizontal="center"/>
    </xf>
    <xf numFmtId="0" fontId="20" fillId="0" borderId="0" xfId="1" applyAlignment="1" applyProtection="1">
      <alignment horizontal="left"/>
    </xf>
    <xf numFmtId="0" fontId="36" fillId="5" borderId="1" xfId="2" applyFill="1" applyBorder="1"/>
    <xf numFmtId="0" fontId="36" fillId="0" borderId="0" xfId="2" applyAlignment="1">
      <alignment horizontal="right"/>
    </xf>
    <xf numFmtId="0" fontId="0" fillId="6" borderId="1" xfId="0" applyFill="1" applyBorder="1"/>
    <xf numFmtId="0" fontId="48" fillId="0" borderId="0" xfId="0" applyFont="1"/>
    <xf numFmtId="0" fontId="54" fillId="0" borderId="0" xfId="0" applyFont="1" applyAlignment="1">
      <alignment horizontal="center" vertical="center"/>
    </xf>
    <xf numFmtId="168" fontId="48" fillId="0" borderId="1" xfId="0" applyNumberFormat="1" applyFont="1" applyBorder="1" applyAlignment="1">
      <alignment horizontal="right"/>
    </xf>
    <xf numFmtId="164" fontId="48" fillId="0" borderId="1" xfId="0" applyNumberFormat="1" applyFont="1" applyBorder="1" applyAlignment="1">
      <alignment horizontal="center" vertical="center"/>
    </xf>
    <xf numFmtId="169" fontId="48" fillId="0" borderId="1" xfId="0" applyNumberFormat="1" applyFont="1" applyBorder="1" applyAlignment="1">
      <alignment horizontal="center" vertical="center"/>
    </xf>
    <xf numFmtId="0" fontId="48" fillId="0" borderId="0" xfId="0" applyFont="1" applyAlignment="1">
      <alignment horizontal="center"/>
    </xf>
    <xf numFmtId="0" fontId="55" fillId="0" borderId="0" xfId="0" applyFont="1"/>
    <xf numFmtId="0" fontId="56" fillId="0" borderId="0" xfId="1" applyFont="1" applyFill="1" applyBorder="1"/>
    <xf numFmtId="0" fontId="48" fillId="8" borderId="1" xfId="0" applyFont="1" applyFill="1" applyBorder="1"/>
    <xf numFmtId="0" fontId="48" fillId="8" borderId="1" xfId="0" applyFont="1" applyFill="1" applyBorder="1" applyAlignment="1">
      <alignment horizontal="center"/>
    </xf>
    <xf numFmtId="0" fontId="57" fillId="0" borderId="0" xfId="0" applyFont="1" applyAlignment="1">
      <alignment horizontal="center" vertical="center" wrapText="1"/>
    </xf>
    <xf numFmtId="0" fontId="55" fillId="0" borderId="2" xfId="0" applyFont="1" applyBorder="1"/>
    <xf numFmtId="0" fontId="55" fillId="0" borderId="1" xfId="0" applyFont="1" applyBorder="1"/>
    <xf numFmtId="0" fontId="55" fillId="0" borderId="1" xfId="0" applyFont="1" applyBorder="1" applyAlignment="1">
      <alignment horizontal="center"/>
    </xf>
    <xf numFmtId="0" fontId="58" fillId="0" borderId="0" xfId="0" applyFont="1"/>
    <xf numFmtId="0" fontId="58" fillId="0" borderId="2" xfId="0" applyFont="1" applyBorder="1" applyAlignment="1">
      <alignment wrapText="1"/>
    </xf>
    <xf numFmtId="168" fontId="58" fillId="0" borderId="1" xfId="0" applyNumberFormat="1" applyFont="1" applyBorder="1"/>
    <xf numFmtId="168" fontId="58" fillId="0" borderId="0" xfId="0" applyNumberFormat="1" applyFont="1"/>
    <xf numFmtId="169" fontId="48" fillId="0" borderId="0" xfId="0" applyNumberFormat="1" applyFont="1" applyAlignment="1">
      <alignment horizontal="center"/>
    </xf>
    <xf numFmtId="0" fontId="48" fillId="0" borderId="0" xfId="0" applyFont="1" applyAlignment="1">
      <alignment wrapText="1"/>
    </xf>
    <xf numFmtId="0" fontId="48" fillId="0" borderId="0" xfId="0" applyFont="1" applyAlignment="1">
      <alignment vertical="center"/>
    </xf>
    <xf numFmtId="0" fontId="48" fillId="0" borderId="1" xfId="0" applyFont="1" applyBorder="1" applyAlignment="1">
      <alignment horizontal="center"/>
    </xf>
    <xf numFmtId="164" fontId="53" fillId="0" borderId="1" xfId="0" applyNumberFormat="1" applyFont="1" applyBorder="1" applyAlignment="1">
      <alignment horizontal="right" wrapText="1"/>
    </xf>
    <xf numFmtId="164" fontId="53" fillId="0" borderId="0" xfId="0" applyNumberFormat="1" applyFont="1" applyAlignment="1">
      <alignment horizontal="right" wrapText="1"/>
    </xf>
    <xf numFmtId="0" fontId="50" fillId="0" borderId="0" xfId="0" applyFont="1" applyAlignment="1">
      <alignment horizontal="center" vertical="top" wrapText="1"/>
    </xf>
    <xf numFmtId="0" fontId="0" fillId="6" borderId="1" xfId="0" applyFill="1" applyBorder="1" applyAlignment="1">
      <alignment horizontal="center" vertical="center"/>
    </xf>
    <xf numFmtId="0" fontId="59" fillId="0" borderId="0" xfId="0" applyFont="1"/>
    <xf numFmtId="0" fontId="43" fillId="0" borderId="0" xfId="0" applyFont="1" applyAlignment="1">
      <alignment horizontal="justify" wrapText="1"/>
    </xf>
    <xf numFmtId="1" fontId="48" fillId="0" borderId="1" xfId="0" applyNumberFormat="1" applyFont="1" applyBorder="1"/>
    <xf numFmtId="0" fontId="58" fillId="8" borderId="1" xfId="0" applyFont="1" applyFill="1" applyBorder="1" applyAlignment="1">
      <alignment vertical="center" wrapText="1"/>
    </xf>
    <xf numFmtId="0" fontId="43" fillId="8" borderId="1" xfId="0" applyFont="1" applyFill="1" applyBorder="1" applyAlignment="1">
      <alignment horizontal="center" vertical="center"/>
    </xf>
    <xf numFmtId="0" fontId="58" fillId="8" borderId="1" xfId="0" applyFont="1" applyFill="1" applyBorder="1" applyAlignment="1">
      <alignment horizontal="center" vertical="center" wrapText="1"/>
    </xf>
    <xf numFmtId="0" fontId="58" fillId="8" borderId="1" xfId="0" applyFont="1" applyFill="1" applyBorder="1" applyAlignment="1">
      <alignment horizontal="center" vertical="center"/>
    </xf>
    <xf numFmtId="0" fontId="43" fillId="8" borderId="1" xfId="0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/>
    </xf>
    <xf numFmtId="0" fontId="60" fillId="0" borderId="0" xfId="0" applyFont="1" applyAlignment="1">
      <alignment horizontal="justify"/>
    </xf>
    <xf numFmtId="0" fontId="0" fillId="4" borderId="2" xfId="0" applyFill="1" applyBorder="1"/>
    <xf numFmtId="0" fontId="0" fillId="4" borderId="16" xfId="0" applyFill="1" applyBorder="1"/>
    <xf numFmtId="0" fontId="0" fillId="4" borderId="3" xfId="0" applyFill="1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16" fillId="2" borderId="4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0" fontId="25" fillId="2" borderId="4" xfId="0" applyFont="1" applyFill="1" applyBorder="1" applyAlignment="1">
      <alignment horizontal="center"/>
    </xf>
    <xf numFmtId="0" fontId="25" fillId="2" borderId="5" xfId="0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8" fillId="8" borderId="2" xfId="0" applyFont="1" applyFill="1" applyBorder="1" applyAlignment="1">
      <alignment horizontal="center" vertical="center" wrapText="1"/>
    </xf>
    <xf numFmtId="0" fontId="58" fillId="8" borderId="16" xfId="0" applyFont="1" applyFill="1" applyBorder="1" applyAlignment="1">
      <alignment horizontal="center" vertical="center" wrapText="1"/>
    </xf>
    <xf numFmtId="0" fontId="58" fillId="8" borderId="3" xfId="0" applyFont="1" applyFill="1" applyBorder="1" applyAlignment="1">
      <alignment horizontal="center" vertical="center" wrapText="1"/>
    </xf>
    <xf numFmtId="0" fontId="61" fillId="0" borderId="0" xfId="0" applyFont="1" applyAlignment="1">
      <alignment horizontal="left" vertical="top" wrapText="1"/>
    </xf>
  </cellXfs>
  <cellStyles count="30">
    <cellStyle name="Comma 2" xfId="4" xr:uid="{00000000-0005-0000-0000-000000000000}"/>
    <cellStyle name="Hüperlink" xfId="1" builtinId="8"/>
    <cellStyle name="Hüperlink 2" xfId="5" xr:uid="{00000000-0005-0000-0000-000002000000}"/>
    <cellStyle name="Hüperlink 3" xfId="6" xr:uid="{00000000-0005-0000-0000-000003000000}"/>
    <cellStyle name="Hüperlink 4" xfId="7" xr:uid="{00000000-0005-0000-0000-000004000000}"/>
    <cellStyle name="Hüperlink 5" xfId="3" xr:uid="{00000000-0005-0000-0000-000005000000}"/>
    <cellStyle name="Hyperlink 2" xfId="8" xr:uid="{00000000-0005-0000-0000-000006000000}"/>
    <cellStyle name="Koma 2" xfId="9" xr:uid="{00000000-0005-0000-0000-000007000000}"/>
    <cellStyle name="Normaallaad" xfId="0" builtinId="0"/>
    <cellStyle name="Normaallaad 2" xfId="2" xr:uid="{00000000-0005-0000-0000-000009000000}"/>
    <cellStyle name="Normaallaad 2 2" xfId="10" xr:uid="{00000000-0005-0000-0000-00000A000000}"/>
    <cellStyle name="Normaallaad 3" xfId="11" xr:uid="{00000000-0005-0000-0000-00000B000000}"/>
    <cellStyle name="Normaallaad 3 2" xfId="12" xr:uid="{00000000-0005-0000-0000-00000C000000}"/>
    <cellStyle name="Normaallaad 3 3" xfId="13" xr:uid="{00000000-0005-0000-0000-00000D000000}"/>
    <cellStyle name="Normaallaad 4" xfId="14" xr:uid="{00000000-0005-0000-0000-00000E000000}"/>
    <cellStyle name="Normaallaad 5" xfId="15" xr:uid="{00000000-0005-0000-0000-00000F000000}"/>
    <cellStyle name="Normaallaad 6" xfId="16" xr:uid="{00000000-0005-0000-0000-000010000000}"/>
    <cellStyle name="Normaallaad 7" xfId="17" xr:uid="{00000000-0005-0000-0000-000011000000}"/>
    <cellStyle name="Normal" xfId="18" xr:uid="{00000000-0005-0000-0000-000012000000}"/>
    <cellStyle name="Normal 2" xfId="19" xr:uid="{00000000-0005-0000-0000-000013000000}"/>
    <cellStyle name="Normal 2 2" xfId="20" xr:uid="{00000000-0005-0000-0000-000014000000}"/>
    <cellStyle name="Normal 2 3" xfId="21" xr:uid="{00000000-0005-0000-0000-000015000000}"/>
    <cellStyle name="Normal 3" xfId="22" xr:uid="{00000000-0005-0000-0000-000016000000}"/>
    <cellStyle name="Normal 4" xfId="23" xr:uid="{00000000-0005-0000-0000-000017000000}"/>
    <cellStyle name="Normal 5" xfId="24" xr:uid="{00000000-0005-0000-0000-000018000000}"/>
    <cellStyle name="Normal_TARTALL" xfId="25" xr:uid="{00000000-0005-0000-0000-000019000000}"/>
    <cellStyle name="Protsent 2" xfId="26" xr:uid="{00000000-0005-0000-0000-00001A000000}"/>
    <cellStyle name="Protsent 2 2" xfId="27" xr:uid="{00000000-0005-0000-0000-00001B000000}"/>
    <cellStyle name="Protsent 2 3" xfId="28" xr:uid="{00000000-0005-0000-0000-00001C000000}"/>
    <cellStyle name="Protsent 3" xfId="29" xr:uid="{00000000-0005-0000-0000-00001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emma%20O&#220;\RIDAS%20YACHT%20&amp;%20COMPOSITES%20O&#220;\Ridas_Yacht_arvutustabelid_f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in\Downloads\Avex_Metall_OU_galvaanika_LOU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in\Downloads\Warmeston_OU_arvutus_.xlsx" TargetMode="External"/><Relationship Id="rId1" Type="http://schemas.openxmlformats.org/officeDocument/2006/relationships/externalLinkPath" Target="file:///C:\Users\Ain\Downloads\Warmeston_OU_arvutus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Ü"/>
      <sheetName val="lahustid"/>
      <sheetName val="Põletamine puhurid"/>
      <sheetName val="Põletamine katlad"/>
      <sheetName val="kiirus V1"/>
      <sheetName val="kiirus V7"/>
      <sheetName val="Keevitus koos CO ja NO)"/>
      <sheetName val="Puidu töötlemine"/>
      <sheetName val="Heiteallikate mõõdud"/>
      <sheetName val="Süsiniku arvutus"/>
    </sheetNames>
    <sheetDataSet>
      <sheetData sheetId="0">
        <row r="12">
          <cell r="M12">
            <v>10626</v>
          </cell>
        </row>
      </sheetData>
      <sheetData sheetId="1">
        <row r="5">
          <cell r="R5">
            <v>5.9994999999999996E-3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ärvid lahustid"/>
      <sheetName val="Lahustid"/>
      <sheetName val="H1,lahustid, keevitamine"/>
      <sheetName val="Haaveldus"/>
      <sheetName val="Keevitus koos CO ja NO"/>
      <sheetName val="Galvaani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ärvid lahustid V9"/>
      <sheetName val="Lahustid V9"/>
      <sheetName val="Keevitamine V9"/>
      <sheetName val="Tsüklon"/>
      <sheetName val=" V1, V5, V6, V7, V10, V11"/>
      <sheetName val="V2, V3, V4, V8, V12"/>
      <sheetName val="Tankla V13"/>
      <sheetName val="V14 ja V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canada.ca/en/environment-climate-change/services/national-pollutant-release-inventory/report/pits-quarries-guide.html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anada.ca/en/environment-climate-change/services/national-pollutant-release-inventory/report/pits-quarries-guide.html" TargetMode="External"/><Relationship Id="rId2" Type="http://schemas.openxmlformats.org/officeDocument/2006/relationships/hyperlink" Target="https://www3.epa.gov/ttn/chief/ap42/ch11/final/c11s1902.pdf" TargetMode="External"/><Relationship Id="rId1" Type="http://schemas.openxmlformats.org/officeDocument/2006/relationships/hyperlink" Target="https://www3.epa.gov/ttn/chief/ap42/ch13/final/c13s0204.pdf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3.epa.gov/ttn/chief/ap42/ch13/final/c13s0204.pdf" TargetMode="External"/><Relationship Id="rId1" Type="http://schemas.openxmlformats.org/officeDocument/2006/relationships/hyperlink" Target="https://keskkonnaamet.ee/keskkonnakasutus-keskkonnatasu/ohk-ja-kliima/ohusaastelub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43"/>
  <sheetViews>
    <sheetView zoomScale="106" zoomScaleNormal="106" workbookViewId="0">
      <selection activeCell="M17" sqref="M17"/>
    </sheetView>
  </sheetViews>
  <sheetFormatPr defaultColWidth="8.88671875" defaultRowHeight="14.4" x14ac:dyDescent="0.3"/>
  <cols>
    <col min="1" max="1" width="46.33203125" customWidth="1"/>
    <col min="2" max="2" width="14.44140625" customWidth="1"/>
    <col min="3" max="3" width="17" bestFit="1" customWidth="1"/>
    <col min="4" max="4" width="15.44140625" customWidth="1"/>
    <col min="5" max="5" width="11.5546875" bestFit="1" customWidth="1"/>
    <col min="6" max="8" width="11.5546875" customWidth="1"/>
    <col min="9" max="9" width="14.33203125" customWidth="1"/>
    <col min="10" max="10" width="17.5546875" customWidth="1"/>
    <col min="11" max="11" width="12.5546875" customWidth="1"/>
    <col min="12" max="12" width="14.109375" customWidth="1"/>
    <col min="13" max="13" width="10.44140625" customWidth="1"/>
    <col min="14" max="14" width="12.5546875" bestFit="1" customWidth="1"/>
    <col min="15" max="15" width="14.33203125" customWidth="1"/>
    <col min="16" max="17" width="11.33203125" customWidth="1"/>
    <col min="18" max="19" width="12" customWidth="1"/>
  </cols>
  <sheetData>
    <row r="2" spans="1:18" s="2" customFormat="1" ht="43.2" x14ac:dyDescent="0.3">
      <c r="A2" s="5" t="s">
        <v>3</v>
      </c>
      <c r="B2" s="5" t="s">
        <v>19</v>
      </c>
      <c r="C2" s="5" t="s">
        <v>0</v>
      </c>
      <c r="D2" s="4" t="s">
        <v>11</v>
      </c>
      <c r="E2" s="4" t="s">
        <v>5</v>
      </c>
      <c r="F2" s="4" t="s">
        <v>53</v>
      </c>
      <c r="G2" s="4" t="s">
        <v>44</v>
      </c>
      <c r="H2" s="4" t="s">
        <v>57</v>
      </c>
      <c r="I2" s="4" t="s">
        <v>9</v>
      </c>
      <c r="J2" s="4" t="s">
        <v>12</v>
      </c>
      <c r="K2" s="4" t="s">
        <v>13</v>
      </c>
      <c r="L2" s="5" t="s">
        <v>15</v>
      </c>
      <c r="M2" s="17" t="s">
        <v>17</v>
      </c>
      <c r="N2" s="133"/>
      <c r="O2" s="100"/>
      <c r="P2" s="100"/>
      <c r="Q2" s="100"/>
    </row>
    <row r="3" spans="1:18" s="2" customFormat="1" x14ac:dyDescent="0.3">
      <c r="A3" s="5"/>
      <c r="B3" s="5"/>
      <c r="C3" s="5"/>
      <c r="D3" s="5" t="s">
        <v>2</v>
      </c>
      <c r="E3" s="5" t="s">
        <v>6</v>
      </c>
      <c r="F3" s="5"/>
      <c r="G3" s="5" t="s">
        <v>2</v>
      </c>
      <c r="H3" s="5" t="s">
        <v>10</v>
      </c>
      <c r="I3" s="5" t="s">
        <v>8</v>
      </c>
      <c r="J3" s="5" t="s">
        <v>14</v>
      </c>
      <c r="K3" s="5" t="s">
        <v>14</v>
      </c>
      <c r="L3" s="5" t="s">
        <v>16</v>
      </c>
      <c r="M3" s="17" t="s">
        <v>18</v>
      </c>
      <c r="N3" s="132"/>
    </row>
    <row r="4" spans="1:18" s="2" customFormat="1" x14ac:dyDescent="0.3">
      <c r="A4" s="3" t="s">
        <v>54</v>
      </c>
      <c r="B4" s="12" t="s">
        <v>20</v>
      </c>
      <c r="C4" s="13" t="s">
        <v>1</v>
      </c>
      <c r="D4" s="3">
        <v>50</v>
      </c>
      <c r="E4" s="10">
        <v>10000</v>
      </c>
      <c r="F4" s="3">
        <v>0.84499999999999997</v>
      </c>
      <c r="G4" s="25">
        <f>E4/F4</f>
        <v>11834.31952662722</v>
      </c>
      <c r="H4" s="25">
        <v>30</v>
      </c>
      <c r="I4" s="48">
        <f>G4/H4</f>
        <v>394.47731755424064</v>
      </c>
      <c r="J4" s="3">
        <v>5</v>
      </c>
      <c r="K4" s="3">
        <v>0.06</v>
      </c>
      <c r="L4" s="3">
        <v>20</v>
      </c>
      <c r="M4" s="16">
        <v>3.5369999999999999</v>
      </c>
      <c r="N4" s="132"/>
      <c r="P4" s="130"/>
      <c r="Q4" s="131"/>
    </row>
    <row r="5" spans="1:18" s="2" customFormat="1" x14ac:dyDescent="0.3">
      <c r="A5" s="3" t="s">
        <v>55</v>
      </c>
      <c r="B5" s="12" t="s">
        <v>21</v>
      </c>
      <c r="C5" s="13" t="s">
        <v>1</v>
      </c>
      <c r="D5" s="3">
        <v>20</v>
      </c>
      <c r="E5" s="10">
        <v>5000</v>
      </c>
      <c r="F5" s="3">
        <v>0.84499999999999997</v>
      </c>
      <c r="G5" s="25">
        <f>E5/F5</f>
        <v>5917.1597633136098</v>
      </c>
      <c r="H5" s="25">
        <v>30</v>
      </c>
      <c r="I5" s="48">
        <f>G5/H5</f>
        <v>197.23865877712032</v>
      </c>
      <c r="J5" s="3">
        <v>5</v>
      </c>
      <c r="K5" s="3">
        <v>0.06</v>
      </c>
      <c r="L5" s="3">
        <v>20</v>
      </c>
      <c r="M5" s="16">
        <v>3.5369999999999999</v>
      </c>
      <c r="N5" s="132"/>
      <c r="P5" s="130"/>
      <c r="Q5" s="131"/>
    </row>
    <row r="6" spans="1:18" s="2" customFormat="1" x14ac:dyDescent="0.3">
      <c r="A6" s="3" t="s">
        <v>56</v>
      </c>
      <c r="B6" s="12" t="s">
        <v>22</v>
      </c>
      <c r="C6" s="13" t="s">
        <v>4</v>
      </c>
      <c r="D6" s="3">
        <v>10</v>
      </c>
      <c r="E6" s="10">
        <v>120</v>
      </c>
      <c r="F6" s="26">
        <v>0.78</v>
      </c>
      <c r="G6" s="25">
        <f>E6/F6</f>
        <v>153.84615384615384</v>
      </c>
      <c r="H6" s="25">
        <v>30</v>
      </c>
      <c r="I6" s="48">
        <f>G6/H6</f>
        <v>5.1282051282051277</v>
      </c>
      <c r="J6" s="3">
        <v>5</v>
      </c>
      <c r="K6" s="3">
        <v>0.06</v>
      </c>
      <c r="L6" s="3">
        <v>20</v>
      </c>
      <c r="M6" s="16">
        <v>3.5369999999999999</v>
      </c>
      <c r="N6" s="132"/>
      <c r="P6" s="130"/>
      <c r="Q6" s="131"/>
    </row>
    <row r="7" spans="1:18" s="2" customFormat="1" x14ac:dyDescent="0.3">
      <c r="A7" s="3" t="s">
        <v>161</v>
      </c>
      <c r="B7" s="3">
        <v>8760</v>
      </c>
    </row>
    <row r="8" spans="1:18" ht="15.6" x14ac:dyDescent="0.3">
      <c r="A8" s="126" t="s">
        <v>183</v>
      </c>
      <c r="I8" s="128" t="s">
        <v>184</v>
      </c>
      <c r="N8" s="2"/>
    </row>
    <row r="9" spans="1:18" x14ac:dyDescent="0.3">
      <c r="N9" s="2"/>
    </row>
    <row r="10" spans="1:18" ht="15.6" x14ac:dyDescent="0.35">
      <c r="A10" s="127" t="s">
        <v>185</v>
      </c>
      <c r="O10" s="85"/>
      <c r="P10" s="2"/>
      <c r="Q10" s="2"/>
    </row>
    <row r="11" spans="1:18" ht="18" x14ac:dyDescent="0.4">
      <c r="A11" s="18" t="s">
        <v>40</v>
      </c>
      <c r="B11" s="5" t="s">
        <v>45</v>
      </c>
      <c r="C11" s="7" t="s">
        <v>46</v>
      </c>
      <c r="D11" s="5" t="s">
        <v>4</v>
      </c>
      <c r="I11" s="90"/>
      <c r="M11" s="41"/>
    </row>
    <row r="12" spans="1:18" x14ac:dyDescent="0.3">
      <c r="A12" s="15" t="s">
        <v>34</v>
      </c>
      <c r="B12" s="3">
        <v>1E-3</v>
      </c>
      <c r="C12" s="3">
        <v>1E-3</v>
      </c>
      <c r="D12" s="3">
        <v>1E-3</v>
      </c>
      <c r="G12" s="2"/>
      <c r="H12" s="2"/>
      <c r="K12" s="30"/>
      <c r="M12" s="41"/>
      <c r="P12" s="41"/>
      <c r="R12" s="50"/>
    </row>
    <row r="13" spans="1:18" ht="16.2" x14ac:dyDescent="0.3">
      <c r="A13" s="15" t="s">
        <v>36</v>
      </c>
      <c r="B13" s="25">
        <f>G4</f>
        <v>11834.31952662722</v>
      </c>
      <c r="C13" s="25">
        <f>G5</f>
        <v>5917.1597633136098</v>
      </c>
      <c r="D13" s="25">
        <f>G6</f>
        <v>153.84615384615384</v>
      </c>
      <c r="G13" s="30"/>
      <c r="I13" s="90"/>
      <c r="M13" s="41"/>
      <c r="R13" s="1"/>
    </row>
    <row r="14" spans="1:18" x14ac:dyDescent="0.3">
      <c r="A14" s="15" t="s">
        <v>42</v>
      </c>
      <c r="B14" s="3">
        <v>6.65</v>
      </c>
      <c r="C14" s="3">
        <v>6.65</v>
      </c>
      <c r="D14" s="3">
        <v>880</v>
      </c>
      <c r="K14" s="30"/>
      <c r="M14" s="41"/>
      <c r="P14" s="41"/>
      <c r="R14" s="1"/>
    </row>
    <row r="15" spans="1:18" x14ac:dyDescent="0.3">
      <c r="A15" s="15" t="s">
        <v>43</v>
      </c>
      <c r="B15" s="3">
        <v>0</v>
      </c>
      <c r="C15" s="3">
        <v>0</v>
      </c>
      <c r="D15" s="3">
        <v>0</v>
      </c>
      <c r="E15" s="22" t="s">
        <v>162</v>
      </c>
      <c r="F15" s="2"/>
      <c r="I15" s="91"/>
      <c r="R15" s="1"/>
    </row>
    <row r="16" spans="1:18" x14ac:dyDescent="0.3">
      <c r="A16" s="19" t="s">
        <v>47</v>
      </c>
      <c r="B16" s="20">
        <f>B12*(B14+B15)*B13</f>
        <v>78.698224852071021</v>
      </c>
      <c r="C16" s="20">
        <f>C12*(C14+C15)*C13</f>
        <v>39.349112426035511</v>
      </c>
      <c r="D16" s="92">
        <f>D12*(D14+D15)*D13</f>
        <v>135.38461538461539</v>
      </c>
      <c r="E16" s="20">
        <f>B16+C16+D16</f>
        <v>253.43195266272193</v>
      </c>
      <c r="F16" s="29"/>
      <c r="L16" s="30"/>
      <c r="P16" s="41"/>
      <c r="R16" s="1"/>
    </row>
    <row r="17" spans="1:18" x14ac:dyDescent="0.3">
      <c r="A17" s="19" t="s">
        <v>52</v>
      </c>
      <c r="B17" s="20">
        <f>B16*A37</f>
        <v>2.3609467455621305</v>
      </c>
      <c r="C17" s="20">
        <f>C16*A37</f>
        <v>1.1804733727810652</v>
      </c>
      <c r="D17" s="92">
        <f>D16*A37</f>
        <v>4.0615384615384613</v>
      </c>
      <c r="E17" s="20">
        <f>B17+C17+D17</f>
        <v>7.6029585798816566</v>
      </c>
      <c r="F17" s="29"/>
      <c r="R17" s="50"/>
    </row>
    <row r="18" spans="1:18" x14ac:dyDescent="0.3">
      <c r="E18" s="93" t="s">
        <v>149</v>
      </c>
      <c r="F18" s="2"/>
      <c r="P18" s="41"/>
      <c r="R18" s="1"/>
    </row>
    <row r="19" spans="1:18" x14ac:dyDescent="0.3">
      <c r="A19" s="21" t="s">
        <v>58</v>
      </c>
      <c r="B19" s="47">
        <f>B16*1000/(B7*3600)</f>
        <v>2.4955043395507048E-3</v>
      </c>
      <c r="C19" s="47">
        <f>C16*1000/(B7*3600)</f>
        <v>1.2477521697753524E-3</v>
      </c>
      <c r="D19" s="47">
        <f>D16*1000/(B7*3600)</f>
        <v>4.2930179916481287E-3</v>
      </c>
      <c r="E19" s="40">
        <f>SUM(B19:D19)</f>
        <v>8.0362745009741852E-3</v>
      </c>
      <c r="F19" s="2"/>
      <c r="P19" s="41"/>
      <c r="R19" s="1"/>
    </row>
    <row r="20" spans="1:18" x14ac:dyDescent="0.3">
      <c r="A20" s="21" t="s">
        <v>59</v>
      </c>
      <c r="B20" s="47">
        <f>B19*A37</f>
        <v>7.4865130186521146E-5</v>
      </c>
      <c r="C20" s="47">
        <f>C19*A37</f>
        <v>3.7432565093260573E-5</v>
      </c>
      <c r="D20" s="47">
        <f>D19*A37</f>
        <v>1.2879053974944386E-4</v>
      </c>
      <c r="E20" s="40">
        <f>SUM(B20:D20)</f>
        <v>2.4108823502922558E-4</v>
      </c>
      <c r="F20" s="2"/>
      <c r="P20" s="41"/>
      <c r="R20" s="1"/>
    </row>
    <row r="21" spans="1:18" x14ac:dyDescent="0.3">
      <c r="E21" s="2"/>
      <c r="F21" s="2"/>
      <c r="H21" s="24" t="s">
        <v>163</v>
      </c>
      <c r="I21" s="14"/>
      <c r="R21" s="1"/>
    </row>
    <row r="22" spans="1:18" x14ac:dyDescent="0.3">
      <c r="A22" s="14" t="s">
        <v>35</v>
      </c>
      <c r="E22" s="2"/>
      <c r="F22" s="2"/>
      <c r="H22" s="77" t="str">
        <f>B4</f>
        <v>001</v>
      </c>
      <c r="I22" s="32">
        <v>1</v>
      </c>
      <c r="J22" s="33" t="s">
        <v>2</v>
      </c>
      <c r="K22" s="33">
        <v>1000</v>
      </c>
      <c r="L22" s="33" t="s">
        <v>61</v>
      </c>
      <c r="M22" s="33"/>
      <c r="N22" s="34"/>
      <c r="R22" s="1"/>
    </row>
    <row r="23" spans="1:18" ht="18" x14ac:dyDescent="0.4">
      <c r="A23" s="18" t="s">
        <v>41</v>
      </c>
      <c r="B23" s="17" t="str">
        <f>B11</f>
        <v>Diislikütus 001</v>
      </c>
      <c r="C23" s="5" t="str">
        <f>C11</f>
        <v>Diislikütus 002A</v>
      </c>
      <c r="D23" s="5" t="s">
        <v>4</v>
      </c>
      <c r="E23" s="2"/>
      <c r="F23" s="2"/>
      <c r="H23" s="78"/>
      <c r="I23" s="35">
        <f>G4</f>
        <v>11834.31952662722</v>
      </c>
      <c r="J23" t="s">
        <v>2</v>
      </c>
      <c r="K23">
        <f>I23*K22</f>
        <v>11834319.52662722</v>
      </c>
      <c r="L23" t="s">
        <v>61</v>
      </c>
      <c r="N23" s="36"/>
      <c r="R23" s="50"/>
    </row>
    <row r="24" spans="1:18" x14ac:dyDescent="0.3">
      <c r="A24" s="15" t="s">
        <v>34</v>
      </c>
      <c r="B24" s="16">
        <v>1E-3</v>
      </c>
      <c r="C24" s="3">
        <v>1E-3</v>
      </c>
      <c r="D24" s="3">
        <v>1E-3</v>
      </c>
      <c r="E24" s="2"/>
      <c r="F24" s="2"/>
      <c r="H24" s="78"/>
      <c r="I24" s="44">
        <f>B28</f>
        <v>120</v>
      </c>
      <c r="J24" t="s">
        <v>61</v>
      </c>
      <c r="K24">
        <v>60</v>
      </c>
      <c r="L24" t="s">
        <v>62</v>
      </c>
      <c r="N24" s="36"/>
      <c r="P24" s="41"/>
      <c r="R24" s="1"/>
    </row>
    <row r="25" spans="1:18" x14ac:dyDescent="0.3">
      <c r="A25" s="15" t="s">
        <v>37</v>
      </c>
      <c r="B25" s="27">
        <f>B13</f>
        <v>11834.31952662722</v>
      </c>
      <c r="C25" s="25">
        <f>C13</f>
        <v>5917.1597633136098</v>
      </c>
      <c r="D25" s="25">
        <f>D13</f>
        <v>153.84615384615384</v>
      </c>
      <c r="E25" s="2"/>
      <c r="F25" s="2"/>
      <c r="H25" s="79"/>
      <c r="I25" s="45">
        <f>K23</f>
        <v>11834319.52662722</v>
      </c>
      <c r="J25" s="37" t="s">
        <v>61</v>
      </c>
      <c r="K25" s="42">
        <f>I25*K24/I24</f>
        <v>5917159.7633136101</v>
      </c>
      <c r="L25" s="37" t="s">
        <v>62</v>
      </c>
      <c r="M25" s="42">
        <f>K25/3600</f>
        <v>1643.6554898093361</v>
      </c>
      <c r="N25" s="38" t="s">
        <v>63</v>
      </c>
      <c r="P25" s="41"/>
    </row>
    <row r="26" spans="1:18" x14ac:dyDescent="0.3">
      <c r="A26" s="15" t="s">
        <v>38</v>
      </c>
      <c r="B26" s="16">
        <v>0</v>
      </c>
      <c r="C26" s="3">
        <v>0</v>
      </c>
      <c r="D26" s="3">
        <v>0</v>
      </c>
      <c r="E26" s="2"/>
      <c r="F26" s="2"/>
      <c r="H26" s="77" t="str">
        <f>B5</f>
        <v>002A</v>
      </c>
      <c r="I26" s="46">
        <v>1</v>
      </c>
      <c r="J26" s="33" t="s">
        <v>2</v>
      </c>
      <c r="K26" s="43">
        <v>1000</v>
      </c>
      <c r="L26" s="33" t="s">
        <v>61</v>
      </c>
      <c r="M26" s="43"/>
      <c r="N26" s="34"/>
    </row>
    <row r="27" spans="1:18" x14ac:dyDescent="0.3">
      <c r="A27" s="15" t="s">
        <v>39</v>
      </c>
      <c r="B27" s="16">
        <v>0.6</v>
      </c>
      <c r="C27" s="3">
        <v>0.6</v>
      </c>
      <c r="D27" s="3">
        <v>80</v>
      </c>
      <c r="F27" s="2"/>
      <c r="H27" s="78"/>
      <c r="I27" s="44">
        <f>G5</f>
        <v>5917.1597633136098</v>
      </c>
      <c r="J27" t="s">
        <v>2</v>
      </c>
      <c r="K27" s="41">
        <f>I27*K26</f>
        <v>5917159.7633136101</v>
      </c>
      <c r="L27" t="s">
        <v>61</v>
      </c>
      <c r="M27" s="41"/>
      <c r="N27" s="36"/>
    </row>
    <row r="28" spans="1:18" x14ac:dyDescent="0.3">
      <c r="A28" s="15" t="s">
        <v>60</v>
      </c>
      <c r="B28" s="16">
        <v>120</v>
      </c>
      <c r="C28" s="3">
        <v>80</v>
      </c>
      <c r="D28" s="3">
        <v>60</v>
      </c>
      <c r="E28" s="22" t="str">
        <f>E15</f>
        <v>Kokku, kg</v>
      </c>
      <c r="F28" s="2"/>
      <c r="H28" s="78"/>
      <c r="I28" s="44">
        <f>C28</f>
        <v>80</v>
      </c>
      <c r="J28" t="s">
        <v>61</v>
      </c>
      <c r="K28" s="41">
        <v>60</v>
      </c>
      <c r="L28" t="s">
        <v>62</v>
      </c>
      <c r="M28" s="41"/>
      <c r="N28" s="36"/>
    </row>
    <row r="29" spans="1:18" x14ac:dyDescent="0.3">
      <c r="A29" s="21" t="str">
        <f>A16</f>
        <v xml:space="preserve">Lenduvad orgaanilised ühendid, kg </v>
      </c>
      <c r="B29" s="20">
        <f>B24*(B26+B27)*B25</f>
        <v>7.1005917159763312</v>
      </c>
      <c r="C29" s="20">
        <f>C24*(C26+C27)*C25</f>
        <v>3.5502958579881656</v>
      </c>
      <c r="D29" s="20">
        <f>D24*(D26+D27)*D25</f>
        <v>12.307692307692307</v>
      </c>
      <c r="E29" s="40">
        <f>B29+C29+D29</f>
        <v>22.958579881656803</v>
      </c>
      <c r="F29" s="29"/>
      <c r="H29" s="79"/>
      <c r="I29" s="45">
        <f>K27</f>
        <v>5917159.7633136101</v>
      </c>
      <c r="J29" s="37" t="s">
        <v>51</v>
      </c>
      <c r="K29" s="42">
        <f>I29*K28/I28</f>
        <v>4437869.8224852076</v>
      </c>
      <c r="L29" s="37" t="s">
        <v>62</v>
      </c>
      <c r="M29" s="42">
        <f>K29/3600</f>
        <v>1232.741617357002</v>
      </c>
      <c r="N29" s="38" t="s">
        <v>63</v>
      </c>
    </row>
    <row r="30" spans="1:18" x14ac:dyDescent="0.3">
      <c r="A30" s="21" t="str">
        <f>A17</f>
        <v>Aromaatsed süsivesinikud, kg</v>
      </c>
      <c r="B30" s="20">
        <f>$A$37*B29</f>
        <v>0.21301775147928992</v>
      </c>
      <c r="C30" s="20">
        <f>$A$37*C29</f>
        <v>0.10650887573964496</v>
      </c>
      <c r="D30" s="20">
        <f>$A$37*D29</f>
        <v>0.3692307692307692</v>
      </c>
      <c r="E30" s="40">
        <f>B30+C30+D30</f>
        <v>0.68875739644970402</v>
      </c>
      <c r="F30" s="29"/>
      <c r="H30" s="77" t="str">
        <f>B6</f>
        <v>002B</v>
      </c>
      <c r="I30" s="46">
        <v>1</v>
      </c>
      <c r="J30" s="33" t="s">
        <v>2</v>
      </c>
      <c r="K30" s="43">
        <v>1000</v>
      </c>
      <c r="L30" s="33" t="s">
        <v>61</v>
      </c>
      <c r="M30" s="43"/>
      <c r="N30" s="34"/>
    </row>
    <row r="31" spans="1:18" x14ac:dyDescent="0.3">
      <c r="E31" s="93" t="s">
        <v>149</v>
      </c>
      <c r="F31" s="2"/>
      <c r="H31" s="78"/>
      <c r="I31" s="44">
        <f>G6</f>
        <v>153.84615384615384</v>
      </c>
      <c r="J31" t="s">
        <v>2</v>
      </c>
      <c r="K31" s="41">
        <f>I31*K30</f>
        <v>153846.15384615384</v>
      </c>
      <c r="L31" t="s">
        <v>61</v>
      </c>
      <c r="M31" s="41"/>
      <c r="N31" s="36"/>
    </row>
    <row r="32" spans="1:18" x14ac:dyDescent="0.3">
      <c r="A32" s="21" t="s">
        <v>58</v>
      </c>
      <c r="B32" s="40">
        <f>B29*1000/(M25*3600)</f>
        <v>1.1999999999999999E-3</v>
      </c>
      <c r="C32" s="40">
        <f>C29*1000/(M29*3600)</f>
        <v>7.9999999999999993E-4</v>
      </c>
      <c r="D32" s="40">
        <f>D29*1000/(M33*3600)</f>
        <v>0.08</v>
      </c>
      <c r="E32" s="40">
        <f>SUM(B32:D32)</f>
        <v>8.2000000000000003E-2</v>
      </c>
      <c r="F32" s="2"/>
      <c r="H32" s="78"/>
      <c r="I32" s="44">
        <f>D28</f>
        <v>60</v>
      </c>
      <c r="J32" t="s">
        <v>61</v>
      </c>
      <c r="K32" s="41">
        <v>60</v>
      </c>
      <c r="L32" t="s">
        <v>62</v>
      </c>
      <c r="M32" s="41"/>
      <c r="N32" s="36"/>
    </row>
    <row r="33" spans="1:14" x14ac:dyDescent="0.3">
      <c r="A33" s="21" t="s">
        <v>59</v>
      </c>
      <c r="B33" s="39">
        <f>B32*A37</f>
        <v>3.5999999999999994E-5</v>
      </c>
      <c r="C33" s="39">
        <f>C32*A37</f>
        <v>2.3999999999999997E-5</v>
      </c>
      <c r="D33" s="39">
        <f>D32*A37</f>
        <v>2.3999999999999998E-3</v>
      </c>
      <c r="E33" s="40">
        <f>SUM(B33:D33)</f>
        <v>2.4599999999999999E-3</v>
      </c>
      <c r="F33" s="2"/>
      <c r="H33" s="79"/>
      <c r="I33" s="45">
        <f>K31</f>
        <v>153846.15384615384</v>
      </c>
      <c r="J33" s="37" t="s">
        <v>51</v>
      </c>
      <c r="K33" s="42">
        <f>I33*K32/I32</f>
        <v>153846.15384615384</v>
      </c>
      <c r="L33" s="37" t="s">
        <v>62</v>
      </c>
      <c r="M33" s="42">
        <f>K33/3600</f>
        <v>42.735042735042732</v>
      </c>
      <c r="N33" s="38" t="s">
        <v>63</v>
      </c>
    </row>
    <row r="34" spans="1:14" x14ac:dyDescent="0.3">
      <c r="A34" s="11" t="s">
        <v>49</v>
      </c>
    </row>
    <row r="35" spans="1:14" x14ac:dyDescent="0.3">
      <c r="A35" s="23" t="s">
        <v>129</v>
      </c>
    </row>
    <row r="36" spans="1:14" x14ac:dyDescent="0.3">
      <c r="A36" s="23" t="s">
        <v>48</v>
      </c>
    </row>
    <row r="37" spans="1:14" x14ac:dyDescent="0.3">
      <c r="A37" s="28">
        <v>0.03</v>
      </c>
    </row>
    <row r="38" spans="1:14" x14ac:dyDescent="0.3">
      <c r="A38" s="24" t="s">
        <v>24</v>
      </c>
      <c r="E38" s="1" t="s">
        <v>181</v>
      </c>
    </row>
    <row r="39" spans="1:14" x14ac:dyDescent="0.3">
      <c r="A39" s="21" t="s">
        <v>175</v>
      </c>
      <c r="B39" s="20">
        <f t="shared" ref="B39:D40" si="0">(B16+B29)/1000</f>
        <v>8.5798816568047359E-2</v>
      </c>
      <c r="C39" s="20">
        <f t="shared" si="0"/>
        <v>4.289940828402368E-2</v>
      </c>
      <c r="D39" s="20">
        <f t="shared" si="0"/>
        <v>0.14769230769230768</v>
      </c>
      <c r="E39" s="121">
        <f>SUM(B39:D39)</f>
        <v>0.27639053254437873</v>
      </c>
    </row>
    <row r="40" spans="1:14" x14ac:dyDescent="0.3">
      <c r="A40" s="21" t="s">
        <v>176</v>
      </c>
      <c r="B40" s="20">
        <f t="shared" si="0"/>
        <v>2.5739644970414208E-3</v>
      </c>
      <c r="C40" s="20">
        <f t="shared" si="0"/>
        <v>1.2869822485207104E-3</v>
      </c>
      <c r="D40" s="20">
        <f t="shared" si="0"/>
        <v>4.4307692307692303E-3</v>
      </c>
      <c r="E40" s="121">
        <f>SUM(B40:D40)</f>
        <v>8.2917159763313611E-3</v>
      </c>
    </row>
    <row r="41" spans="1:14" x14ac:dyDescent="0.3">
      <c r="A41" s="215"/>
      <c r="B41" s="216"/>
      <c r="C41" s="216"/>
      <c r="D41" s="217"/>
      <c r="E41" s="21"/>
    </row>
    <row r="42" spans="1:14" x14ac:dyDescent="0.3">
      <c r="A42" s="21" t="s">
        <v>177</v>
      </c>
      <c r="B42" s="20">
        <f t="shared" ref="B42:D43" si="1">B19+B32</f>
        <v>3.6955043395507049E-3</v>
      </c>
      <c r="C42" s="20">
        <f t="shared" si="1"/>
        <v>2.0477521697753525E-3</v>
      </c>
      <c r="D42" s="20">
        <f t="shared" si="1"/>
        <v>8.4293017991648136E-2</v>
      </c>
      <c r="E42" s="121">
        <f>SUM(B42:D42)</f>
        <v>9.0036274500974192E-2</v>
      </c>
    </row>
    <row r="43" spans="1:14" x14ac:dyDescent="0.3">
      <c r="A43" s="21" t="s">
        <v>178</v>
      </c>
      <c r="B43" s="40">
        <f t="shared" si="1"/>
        <v>1.1086513018652114E-4</v>
      </c>
      <c r="C43" s="40">
        <f t="shared" si="1"/>
        <v>6.1432565093260573E-5</v>
      </c>
      <c r="D43" s="20">
        <f t="shared" si="1"/>
        <v>2.5287905397494434E-3</v>
      </c>
      <c r="E43" s="121">
        <f>SUM(B43:D43)</f>
        <v>2.7010882350292252E-3</v>
      </c>
    </row>
  </sheetData>
  <mergeCells count="1">
    <mergeCell ref="A41:D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2"/>
  <sheetViews>
    <sheetView zoomScale="107" zoomScaleNormal="107" workbookViewId="0">
      <selection activeCell="F31" sqref="F31"/>
    </sheetView>
  </sheetViews>
  <sheetFormatPr defaultRowHeight="14.4" x14ac:dyDescent="0.3"/>
  <cols>
    <col min="1" max="1" width="19.109375" customWidth="1"/>
    <col min="2" max="2" width="34.109375" customWidth="1"/>
    <col min="3" max="3" width="15.88671875" customWidth="1"/>
    <col min="4" max="4" width="12" customWidth="1"/>
    <col min="5" max="5" width="20" customWidth="1"/>
    <col min="6" max="6" width="17.5546875" customWidth="1"/>
    <col min="7" max="7" width="19.88671875" customWidth="1"/>
    <col min="8" max="8" width="21.109375" customWidth="1"/>
    <col min="9" max="12" width="17.5546875" customWidth="1"/>
    <col min="13" max="13" width="14.88671875" customWidth="1"/>
  </cols>
  <sheetData>
    <row r="1" spans="1:20" x14ac:dyDescent="0.3">
      <c r="A1" s="24" t="s">
        <v>180</v>
      </c>
    </row>
    <row r="2" spans="1:20" x14ac:dyDescent="0.3">
      <c r="A2" s="218" t="s">
        <v>65</v>
      </c>
      <c r="B2" s="218"/>
      <c r="C2" s="10">
        <v>19505</v>
      </c>
      <c r="E2" t="s">
        <v>151</v>
      </c>
      <c r="F2">
        <v>52</v>
      </c>
    </row>
    <row r="3" spans="1:20" x14ac:dyDescent="0.3">
      <c r="A3" s="218" t="s">
        <v>66</v>
      </c>
      <c r="B3" s="218"/>
      <c r="C3" s="10">
        <v>1778</v>
      </c>
      <c r="E3" t="s">
        <v>152</v>
      </c>
      <c r="F3">
        <v>5</v>
      </c>
      <c r="J3">
        <v>5</v>
      </c>
      <c r="K3">
        <v>12</v>
      </c>
      <c r="L3">
        <f>J3*K3</f>
        <v>60</v>
      </c>
    </row>
    <row r="4" spans="1:20" x14ac:dyDescent="0.3">
      <c r="A4" s="219" t="s">
        <v>67</v>
      </c>
      <c r="B4" s="219"/>
      <c r="C4" s="31">
        <f>SUM(C2:C3)</f>
        <v>21283</v>
      </c>
      <c r="E4" t="s">
        <v>153</v>
      </c>
      <c r="F4">
        <v>24</v>
      </c>
      <c r="J4">
        <v>4</v>
      </c>
      <c r="K4">
        <v>8</v>
      </c>
      <c r="L4">
        <f>J4*K4</f>
        <v>32</v>
      </c>
    </row>
    <row r="5" spans="1:20" x14ac:dyDescent="0.3">
      <c r="A5" s="220" t="s">
        <v>68</v>
      </c>
      <c r="B5" s="221"/>
      <c r="C5" s="3">
        <v>2.6</v>
      </c>
      <c r="E5" t="s">
        <v>154</v>
      </c>
      <c r="F5">
        <f>F2*F3*F4</f>
        <v>6240</v>
      </c>
      <c r="G5" t="s">
        <v>7</v>
      </c>
      <c r="H5" s="1">
        <v>192</v>
      </c>
      <c r="I5" t="s">
        <v>159</v>
      </c>
      <c r="L5">
        <f>SUM(L3:L4)</f>
        <v>92</v>
      </c>
      <c r="M5">
        <v>260</v>
      </c>
      <c r="N5">
        <f>L5*M5</f>
        <v>23920</v>
      </c>
      <c r="O5" t="s">
        <v>23</v>
      </c>
    </row>
    <row r="6" spans="1:20" x14ac:dyDescent="0.3">
      <c r="A6" s="222" t="s">
        <v>110</v>
      </c>
      <c r="B6" s="223"/>
      <c r="C6" s="10">
        <v>6840000</v>
      </c>
      <c r="E6" t="s">
        <v>152</v>
      </c>
      <c r="F6">
        <f>F3*F2</f>
        <v>260</v>
      </c>
    </row>
    <row r="7" spans="1:20" x14ac:dyDescent="0.3">
      <c r="A7" s="75" t="s">
        <v>126</v>
      </c>
      <c r="B7" s="76"/>
      <c r="C7" s="74">
        <v>260</v>
      </c>
      <c r="M7">
        <f>C4/C7</f>
        <v>81.857692307692304</v>
      </c>
    </row>
    <row r="8" spans="1:20" x14ac:dyDescent="0.3">
      <c r="A8" s="75" t="s">
        <v>128</v>
      </c>
      <c r="B8" s="76"/>
      <c r="C8" s="74">
        <v>960</v>
      </c>
    </row>
    <row r="9" spans="1:20" x14ac:dyDescent="0.3">
      <c r="A9" s="75" t="s">
        <v>143</v>
      </c>
      <c r="B9" s="76"/>
      <c r="C9" s="80">
        <f>C7*C8</f>
        <v>249600</v>
      </c>
    </row>
    <row r="10" spans="1:20" ht="28.8" x14ac:dyDescent="0.3">
      <c r="A10" s="4" t="s">
        <v>85</v>
      </c>
      <c r="B10" s="7" t="s">
        <v>84</v>
      </c>
      <c r="C10" s="8" t="s">
        <v>86</v>
      </c>
      <c r="D10" s="8" t="s">
        <v>69</v>
      </c>
      <c r="E10" s="8" t="s">
        <v>124</v>
      </c>
      <c r="F10" s="8" t="s">
        <v>124</v>
      </c>
      <c r="G10" s="8" t="s">
        <v>150</v>
      </c>
      <c r="H10" s="8" t="s">
        <v>155</v>
      </c>
      <c r="I10" s="86"/>
      <c r="L10" s="86"/>
      <c r="M10" s="85"/>
      <c r="S10" s="89"/>
      <c r="T10" s="89"/>
    </row>
    <row r="11" spans="1:20" x14ac:dyDescent="0.3">
      <c r="A11" s="7" t="s">
        <v>14</v>
      </c>
      <c r="B11" s="8" t="s">
        <v>14</v>
      </c>
      <c r="C11" s="7" t="s">
        <v>64</v>
      </c>
      <c r="D11" s="8" t="s">
        <v>14</v>
      </c>
      <c r="E11" s="7" t="s">
        <v>2</v>
      </c>
      <c r="F11" s="8" t="s">
        <v>6</v>
      </c>
      <c r="G11" s="8" t="s">
        <v>87</v>
      </c>
      <c r="H11" s="7" t="s">
        <v>7</v>
      </c>
      <c r="I11" s="1"/>
      <c r="L11" s="86"/>
      <c r="M11" s="86"/>
    </row>
    <row r="12" spans="1:20" x14ac:dyDescent="0.3">
      <c r="A12" s="3">
        <v>40</v>
      </c>
      <c r="B12" s="3">
        <v>200</v>
      </c>
      <c r="C12" s="3">
        <f>A12*B12</f>
        <v>8000</v>
      </c>
      <c r="D12" s="3">
        <v>25</v>
      </c>
      <c r="E12" s="3">
        <f>A12*B12*D12</f>
        <v>200000</v>
      </c>
      <c r="F12" s="3">
        <f>C5*E12</f>
        <v>520000</v>
      </c>
      <c r="G12" s="3">
        <v>5</v>
      </c>
      <c r="H12" s="3">
        <f>G12*F5</f>
        <v>31200</v>
      </c>
      <c r="I12" s="2"/>
      <c r="L12" s="82"/>
      <c r="M12" s="83"/>
    </row>
    <row r="13" spans="1:20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81"/>
      <c r="L13" s="82"/>
      <c r="M13" s="83"/>
    </row>
    <row r="14" spans="1:20" x14ac:dyDescent="0.3">
      <c r="A14" t="s">
        <v>147</v>
      </c>
    </row>
    <row r="15" spans="1:20" x14ac:dyDescent="0.3">
      <c r="A15" t="s">
        <v>144</v>
      </c>
    </row>
    <row r="16" spans="1:20" x14ac:dyDescent="0.3">
      <c r="A16" t="s">
        <v>145</v>
      </c>
    </row>
    <row r="17" spans="1:19" x14ac:dyDescent="0.3">
      <c r="A17" t="s">
        <v>146</v>
      </c>
    </row>
    <row r="18" spans="1:19" x14ac:dyDescent="0.3">
      <c r="C18" s="1" t="s">
        <v>157</v>
      </c>
      <c r="S18" s="73"/>
    </row>
    <row r="19" spans="1:19" x14ac:dyDescent="0.3">
      <c r="A19" s="6" t="s">
        <v>130</v>
      </c>
      <c r="B19" s="6" t="s">
        <v>158</v>
      </c>
      <c r="C19" s="6">
        <v>960</v>
      </c>
      <c r="G19" s="84" t="s">
        <v>148</v>
      </c>
      <c r="H19" s="5" t="s">
        <v>174</v>
      </c>
      <c r="I19" s="5" t="s">
        <v>23</v>
      </c>
      <c r="J19" s="116" t="s">
        <v>149</v>
      </c>
      <c r="K19" s="117"/>
    </row>
    <row r="20" spans="1:19" x14ac:dyDescent="0.3">
      <c r="A20" s="6" t="s">
        <v>131</v>
      </c>
      <c r="B20" s="6" t="s">
        <v>133</v>
      </c>
      <c r="C20" s="6">
        <f>C12</f>
        <v>8000</v>
      </c>
      <c r="G20" s="21" t="s">
        <v>50</v>
      </c>
      <c r="H20" s="113">
        <f>(C22*C19+C25*C20^1.5*C21)/1000</f>
        <v>0.72381918561598535</v>
      </c>
      <c r="I20" s="125">
        <f>H20*$C$7</f>
        <v>188.1929882601562</v>
      </c>
      <c r="J20" s="151">
        <f>H20*1000000/($H$5*3600)</f>
        <v>1.0471921088194232</v>
      </c>
      <c r="K20" s="118"/>
      <c r="S20" s="30"/>
    </row>
    <row r="21" spans="1:19" x14ac:dyDescent="0.3">
      <c r="A21" s="6" t="s">
        <v>132</v>
      </c>
      <c r="B21" s="6" t="s">
        <v>160</v>
      </c>
      <c r="C21" s="6">
        <v>1</v>
      </c>
      <c r="G21" s="21" t="s">
        <v>71</v>
      </c>
      <c r="H21" s="113">
        <f>(C23*C19+C25*C26*C20^1.5*C21)/1000</f>
        <v>0.37945797652031238</v>
      </c>
      <c r="I21" s="125">
        <f>H21*$C$7</f>
        <v>98.659073895281225</v>
      </c>
      <c r="J21" s="151">
        <f t="shared" ref="J21" si="0">H21*1000000/($H$5*3600)</f>
        <v>0.5489843410305445</v>
      </c>
      <c r="K21" s="118"/>
      <c r="Q21" s="73"/>
    </row>
    <row r="22" spans="1:19" x14ac:dyDescent="0.3">
      <c r="A22" s="6" t="s">
        <v>135</v>
      </c>
      <c r="B22" s="6" t="s">
        <v>142</v>
      </c>
      <c r="C22" s="6">
        <v>0.59</v>
      </c>
      <c r="G22" s="21" t="s">
        <v>127</v>
      </c>
      <c r="H22" s="113">
        <f>(C24*C19+C25*C27*C20^1.5*C21)/1000</f>
        <v>0.30232257556847958</v>
      </c>
      <c r="I22" s="125">
        <f t="shared" ref="I22" si="1">H22*$C$7</f>
        <v>78.603869647804686</v>
      </c>
      <c r="J22" s="151">
        <f>H22*1000000/($H$5*3600)</f>
        <v>0.43738798548680496</v>
      </c>
      <c r="K22" s="118"/>
      <c r="Q22" s="30"/>
      <c r="S22" s="41"/>
    </row>
    <row r="23" spans="1:19" x14ac:dyDescent="0.3">
      <c r="A23" s="6" t="s">
        <v>136</v>
      </c>
      <c r="B23" s="6" t="s">
        <v>142</v>
      </c>
      <c r="C23" s="6">
        <v>0.31</v>
      </c>
      <c r="G23" s="115" t="s">
        <v>31</v>
      </c>
      <c r="H23" s="114">
        <f>C30*M7/1000</f>
        <v>2.7831615384615382</v>
      </c>
      <c r="I23" s="125">
        <f>C30*C4/1000</f>
        <v>723.62199999999996</v>
      </c>
      <c r="J23" s="151">
        <f>I23*1000000/($H$12*3600)</f>
        <v>6.4425035612535613</v>
      </c>
      <c r="K23" s="118"/>
    </row>
    <row r="24" spans="1:19" x14ac:dyDescent="0.3">
      <c r="A24" s="6" t="s">
        <v>137</v>
      </c>
      <c r="B24" s="6" t="s">
        <v>142</v>
      </c>
      <c r="C24" s="6">
        <v>0.31</v>
      </c>
      <c r="G24" s="115" t="s">
        <v>32</v>
      </c>
      <c r="H24" s="114">
        <f>C31*M7/1000</f>
        <v>0.65486153846153838</v>
      </c>
      <c r="I24" s="125">
        <f>C31*C4/1000</f>
        <v>170.26400000000001</v>
      </c>
      <c r="J24" s="151">
        <f>I24*1000000/($H$12*3600)</f>
        <v>1.5158831908831909</v>
      </c>
      <c r="K24" s="118"/>
    </row>
    <row r="25" spans="1:19" x14ac:dyDescent="0.3">
      <c r="A25" s="6" t="s">
        <v>139</v>
      </c>
      <c r="B25" s="6" t="s">
        <v>134</v>
      </c>
      <c r="C25" s="6">
        <v>2.2000000000000001E-4</v>
      </c>
      <c r="G25" s="115" t="s">
        <v>156</v>
      </c>
      <c r="H25" s="114">
        <f>C32*M7/1000</f>
        <v>8.1857692307692298E-2</v>
      </c>
      <c r="I25" s="125">
        <f>C32*C4/1000</f>
        <v>21.283000000000001</v>
      </c>
      <c r="J25" s="151">
        <f>I25*1000000/($H$12*3600)</f>
        <v>0.18948539886039886</v>
      </c>
      <c r="K25" s="118"/>
    </row>
    <row r="26" spans="1:19" x14ac:dyDescent="0.3">
      <c r="A26" s="6" t="s">
        <v>138</v>
      </c>
      <c r="B26" s="6" t="s">
        <v>141</v>
      </c>
      <c r="C26" s="6">
        <v>0.52</v>
      </c>
    </row>
    <row r="27" spans="1:19" x14ac:dyDescent="0.3">
      <c r="A27" s="6" t="s">
        <v>140</v>
      </c>
      <c r="B27" s="6" t="s">
        <v>141</v>
      </c>
      <c r="C27" s="6">
        <v>0.03</v>
      </c>
    </row>
    <row r="29" spans="1:19" x14ac:dyDescent="0.3">
      <c r="A29" s="72" t="s">
        <v>125</v>
      </c>
      <c r="B29" s="52" t="s">
        <v>70</v>
      </c>
      <c r="C29" s="51"/>
      <c r="D29" s="51"/>
    </row>
    <row r="30" spans="1:19" x14ac:dyDescent="0.3">
      <c r="A30">
        <v>8.4</v>
      </c>
      <c r="B30" s="54" t="s">
        <v>31</v>
      </c>
      <c r="C30" s="55">
        <v>34</v>
      </c>
      <c r="D30" s="54" t="s">
        <v>29</v>
      </c>
      <c r="H30" s="87"/>
      <c r="I30" s="87"/>
    </row>
    <row r="31" spans="1:19" x14ac:dyDescent="0.3">
      <c r="B31" s="54" t="s">
        <v>32</v>
      </c>
      <c r="C31" s="55">
        <v>8</v>
      </c>
      <c r="D31" s="54" t="s">
        <v>29</v>
      </c>
      <c r="K31" s="88"/>
    </row>
    <row r="32" spans="1:19" x14ac:dyDescent="0.3">
      <c r="B32" s="54" t="s">
        <v>156</v>
      </c>
      <c r="C32" s="55">
        <v>1</v>
      </c>
      <c r="D32" s="54" t="s">
        <v>29</v>
      </c>
    </row>
  </sheetData>
  <mergeCells count="5">
    <mergeCell ref="A2:B2"/>
    <mergeCell ref="A3:B3"/>
    <mergeCell ref="A4:B4"/>
    <mergeCell ref="A5:B5"/>
    <mergeCell ref="A6:B6"/>
  </mergeCells>
  <hyperlinks>
    <hyperlink ref="B29" r:id="rId1" xr:uid="{00000000-0004-0000-0200-000000000000}"/>
  </hyperlinks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1"/>
  <sheetViews>
    <sheetView zoomScaleNormal="100" workbookViewId="0">
      <selection activeCell="C36" sqref="C36"/>
    </sheetView>
  </sheetViews>
  <sheetFormatPr defaultRowHeight="14.4" x14ac:dyDescent="0.3"/>
  <cols>
    <col min="1" max="1" width="27.44140625" customWidth="1"/>
    <col min="2" max="3" width="17.5546875" customWidth="1"/>
    <col min="4" max="6" width="14.6640625" customWidth="1"/>
    <col min="7" max="12" width="12" customWidth="1"/>
    <col min="15" max="15" width="12.6640625" customWidth="1"/>
    <col min="16" max="16" width="11" customWidth="1"/>
    <col min="17" max="17" width="12.33203125" customWidth="1"/>
    <col min="18" max="18" width="11" customWidth="1"/>
  </cols>
  <sheetData>
    <row r="1" spans="1:23" s="2" customFormat="1" x14ac:dyDescent="0.3">
      <c r="A1" s="68" t="s">
        <v>30</v>
      </c>
      <c r="B1" s="68">
        <v>3690000</v>
      </c>
      <c r="C1" s="3" t="s">
        <v>23</v>
      </c>
    </row>
    <row r="2" spans="1:23" s="62" customFormat="1" ht="28.8" x14ac:dyDescent="0.3">
      <c r="A2" s="228" t="s">
        <v>79</v>
      </c>
      <c r="B2" s="241" t="s">
        <v>80</v>
      </c>
      <c r="C2" s="238" t="s">
        <v>112</v>
      </c>
      <c r="D2" s="233" t="s">
        <v>81</v>
      </c>
      <c r="E2" s="234"/>
      <c r="F2" s="235"/>
      <c r="G2" s="233" t="s">
        <v>82</v>
      </c>
      <c r="H2" s="234"/>
      <c r="I2" s="235"/>
      <c r="J2" s="244" t="s">
        <v>83</v>
      </c>
      <c r="K2" s="244"/>
      <c r="L2" s="244"/>
      <c r="M2" s="63" t="s">
        <v>26</v>
      </c>
      <c r="N2" s="63" t="s">
        <v>27</v>
      </c>
      <c r="O2" s="69" t="s">
        <v>28</v>
      </c>
      <c r="P2" s="63" t="s">
        <v>17</v>
      </c>
      <c r="Q2" s="63" t="s">
        <v>15</v>
      </c>
      <c r="R2" s="63" t="s">
        <v>25</v>
      </c>
    </row>
    <row r="3" spans="1:23" s="62" customFormat="1" x14ac:dyDescent="0.3">
      <c r="A3" s="229"/>
      <c r="B3" s="242"/>
      <c r="C3" s="239"/>
      <c r="D3" s="231" t="s">
        <v>50</v>
      </c>
      <c r="E3" s="231" t="s">
        <v>71</v>
      </c>
      <c r="F3" s="231" t="s">
        <v>72</v>
      </c>
      <c r="G3" s="231" t="s">
        <v>50</v>
      </c>
      <c r="H3" s="231" t="s">
        <v>71</v>
      </c>
      <c r="I3" s="231" t="s">
        <v>72</v>
      </c>
      <c r="J3" s="231" t="s">
        <v>33</v>
      </c>
      <c r="K3" s="231" t="s">
        <v>71</v>
      </c>
      <c r="L3" s="231" t="s">
        <v>72</v>
      </c>
      <c r="M3" s="224" t="s">
        <v>14</v>
      </c>
      <c r="N3" s="224" t="s">
        <v>14</v>
      </c>
      <c r="O3" s="224"/>
      <c r="P3" s="224" t="s">
        <v>18</v>
      </c>
      <c r="Q3" s="226" t="s">
        <v>16</v>
      </c>
      <c r="R3" s="224" t="s">
        <v>7</v>
      </c>
      <c r="T3" s="155" t="s">
        <v>201</v>
      </c>
      <c r="U3" s="155" t="s">
        <v>202</v>
      </c>
      <c r="V3" s="6"/>
      <c r="W3" s="6"/>
    </row>
    <row r="4" spans="1:23" s="62" customFormat="1" x14ac:dyDescent="0.3">
      <c r="A4" s="230"/>
      <c r="B4" s="243"/>
      <c r="C4" s="240"/>
      <c r="D4" s="232"/>
      <c r="E4" s="232"/>
      <c r="F4" s="232"/>
      <c r="G4" s="232"/>
      <c r="H4" s="232"/>
      <c r="I4" s="232"/>
      <c r="J4" s="232"/>
      <c r="K4" s="232"/>
      <c r="L4" s="232"/>
      <c r="M4" s="225"/>
      <c r="N4" s="225"/>
      <c r="O4" s="225"/>
      <c r="P4" s="225"/>
      <c r="Q4" s="227"/>
      <c r="R4" s="225"/>
      <c r="T4" s="6">
        <v>12</v>
      </c>
      <c r="U4" s="6">
        <v>12</v>
      </c>
      <c r="V4" s="6">
        <f>T4*U4</f>
        <v>144</v>
      </c>
      <c r="W4" s="49" t="s">
        <v>64</v>
      </c>
    </row>
    <row r="5" spans="1:23" s="2" customFormat="1" x14ac:dyDescent="0.3">
      <c r="A5" s="13" t="s">
        <v>113</v>
      </c>
      <c r="B5" s="245" t="s">
        <v>118</v>
      </c>
      <c r="C5" s="236">
        <f>B1</f>
        <v>3690000</v>
      </c>
      <c r="D5" s="57">
        <f>C19</f>
        <v>2.2747447370623315E-4</v>
      </c>
      <c r="E5" s="57">
        <f>C20</f>
        <v>1.0758927810429945E-4</v>
      </c>
      <c r="F5" s="57">
        <f>C21</f>
        <v>1.6292090684365347E-5</v>
      </c>
      <c r="G5" s="26">
        <f t="shared" ref="G5:I6" si="0">$C$5*D5/1000</f>
        <v>0.83938080797600023</v>
      </c>
      <c r="H5" s="26">
        <f t="shared" si="0"/>
        <v>0.39700443620486497</v>
      </c>
      <c r="I5" s="26">
        <f t="shared" si="0"/>
        <v>6.011781462530813E-2</v>
      </c>
      <c r="J5" s="26">
        <f>G5*1000000/(R5*3600)</f>
        <v>4.0034569977487805E-2</v>
      </c>
      <c r="K5" s="26">
        <f>H5*1000000/(R5*3600)</f>
        <v>1.8935269583946934E-2</v>
      </c>
      <c r="L5" s="26">
        <f>I5*1000000/(R5*3600)</f>
        <v>2.8673408227119644E-3</v>
      </c>
      <c r="M5" s="3"/>
      <c r="N5" s="3"/>
      <c r="O5" s="3">
        <v>0</v>
      </c>
      <c r="P5" s="3"/>
      <c r="Q5" s="3">
        <v>18</v>
      </c>
      <c r="R5" s="3">
        <v>5824</v>
      </c>
      <c r="T5" s="6"/>
      <c r="U5" s="6" t="s">
        <v>71</v>
      </c>
      <c r="V5" s="156">
        <f>K7/V4</f>
        <v>2.5726705095887827E-4</v>
      </c>
      <c r="W5" s="49" t="s">
        <v>203</v>
      </c>
    </row>
    <row r="6" spans="1:23" s="2" customFormat="1" x14ac:dyDescent="0.3">
      <c r="A6" s="6" t="s">
        <v>114</v>
      </c>
      <c r="B6" s="246"/>
      <c r="C6" s="236"/>
      <c r="D6" s="57">
        <f>C19</f>
        <v>2.2747447370623315E-4</v>
      </c>
      <c r="E6" s="57">
        <f>C20</f>
        <v>1.0758927810429945E-4</v>
      </c>
      <c r="F6" s="57">
        <f>C21</f>
        <v>1.6292090684365347E-5</v>
      </c>
      <c r="G6" s="26">
        <f t="shared" si="0"/>
        <v>0.83938080797600023</v>
      </c>
      <c r="H6" s="26">
        <f>$C$5*E6/1000</f>
        <v>0.39700443620486497</v>
      </c>
      <c r="I6" s="26">
        <f t="shared" si="0"/>
        <v>6.011781462530813E-2</v>
      </c>
      <c r="J6" s="26">
        <f>G6*1000000/(R6*3600)</f>
        <v>3.8292221308735254E-2</v>
      </c>
      <c r="K6" s="26">
        <f>H6*1000000/(R6*3600)</f>
        <v>1.811118575413154E-2</v>
      </c>
      <c r="L6" s="26">
        <f>I6*1000000/(R6*3600)</f>
        <v>2.742550985625633E-3</v>
      </c>
      <c r="M6" s="3"/>
      <c r="N6" s="3"/>
      <c r="O6" s="3">
        <v>0</v>
      </c>
      <c r="P6" s="3"/>
      <c r="Q6" s="3">
        <v>18</v>
      </c>
      <c r="R6" s="3">
        <v>6089</v>
      </c>
      <c r="T6" s="6"/>
      <c r="U6" s="6" t="s">
        <v>127</v>
      </c>
      <c r="V6" s="156">
        <f>L7/V4</f>
        <v>3.8957582002344423E-5</v>
      </c>
      <c r="W6" s="49" t="s">
        <v>203</v>
      </c>
    </row>
    <row r="7" spans="1:23" s="2" customFormat="1" x14ac:dyDescent="0.3">
      <c r="A7" s="6"/>
      <c r="B7" s="129"/>
      <c r="C7" s="236"/>
      <c r="D7" s="57"/>
      <c r="E7" s="57"/>
      <c r="F7" s="120" t="s">
        <v>179</v>
      </c>
      <c r="G7" s="121">
        <f t="shared" ref="G7:L7" si="1">G5+G6</f>
        <v>1.6787616159520005</v>
      </c>
      <c r="H7" s="121">
        <f t="shared" si="1"/>
        <v>0.79400887240972995</v>
      </c>
      <c r="I7" s="121">
        <f t="shared" si="1"/>
        <v>0.12023562925061626</v>
      </c>
      <c r="J7" s="119">
        <f t="shared" si="1"/>
        <v>7.8326791286223052E-2</v>
      </c>
      <c r="K7" s="119">
        <f t="shared" si="1"/>
        <v>3.7046455338078474E-2</v>
      </c>
      <c r="L7" s="119">
        <f t="shared" si="1"/>
        <v>5.609891808337597E-3</v>
      </c>
      <c r="M7" s="3"/>
      <c r="N7" s="3"/>
      <c r="O7" s="3"/>
      <c r="P7" s="3"/>
      <c r="Q7" s="3"/>
      <c r="R7" s="3"/>
    </row>
    <row r="8" spans="1:23" x14ac:dyDescent="0.3">
      <c r="A8" s="6" t="s">
        <v>115</v>
      </c>
      <c r="B8" s="49" t="s">
        <v>119</v>
      </c>
      <c r="C8" s="236"/>
      <c r="D8" s="49">
        <f>F26</f>
        <v>5.9999999999999995E-4</v>
      </c>
      <c r="E8" s="49">
        <f>G26</f>
        <v>2.7E-4</v>
      </c>
      <c r="F8" s="49">
        <f>H26</f>
        <v>5.0000000000000002E-5</v>
      </c>
      <c r="G8" s="122">
        <f>($C$5*D8/1000)*((100-O8)/100)</f>
        <v>1.2177</v>
      </c>
      <c r="H8" s="122">
        <f>($C$5*E8/1000)*((100-O8)/100)</f>
        <v>0.54796500000000004</v>
      </c>
      <c r="I8" s="122">
        <f>($C$5*F8/1000)*((100-O8)/100)</f>
        <v>0.10147500000000001</v>
      </c>
      <c r="J8" s="152">
        <f>G8*1000000/(R8*3600)</f>
        <v>5.555099359500739E-2</v>
      </c>
      <c r="K8" s="152">
        <f>H8*1000000/(R8*3600)</f>
        <v>2.4997947117753324E-2</v>
      </c>
      <c r="L8" s="152">
        <f>I8*1000000/(R8*3600)</f>
        <v>4.6292494662506165E-3</v>
      </c>
      <c r="M8" s="49">
        <v>13.6</v>
      </c>
      <c r="N8" s="49">
        <v>0.53</v>
      </c>
      <c r="O8" s="49">
        <v>45</v>
      </c>
      <c r="P8" s="49">
        <v>15.003</v>
      </c>
      <c r="Q8" s="49">
        <v>18</v>
      </c>
      <c r="R8" s="49">
        <v>6089</v>
      </c>
    </row>
    <row r="9" spans="1:23" x14ac:dyDescent="0.3">
      <c r="A9" s="6" t="s">
        <v>116</v>
      </c>
      <c r="B9" s="49" t="s">
        <v>120</v>
      </c>
      <c r="C9" s="236"/>
      <c r="D9" s="49">
        <f>F26</f>
        <v>5.9999999999999995E-4</v>
      </c>
      <c r="E9" s="49">
        <f>G26</f>
        <v>2.7E-4</v>
      </c>
      <c r="F9" s="49">
        <f>H26</f>
        <v>5.0000000000000002E-5</v>
      </c>
      <c r="G9" s="122">
        <f>($C$5*D9/1000)*((100-O9)/100)</f>
        <v>1.2177</v>
      </c>
      <c r="H9" s="122">
        <f>($C$5*E9/1000)*((100-O9)/100)</f>
        <v>0.54796500000000004</v>
      </c>
      <c r="I9" s="122">
        <f>($C$5*F9/1000)*((100-O9)/100)</f>
        <v>0.10147500000000001</v>
      </c>
      <c r="J9" s="152">
        <f>G9*1000000/(R9*3600)</f>
        <v>5.555099359500739E-2</v>
      </c>
      <c r="K9" s="152">
        <f>H9*1000000/(R9*3600)</f>
        <v>2.4997947117753324E-2</v>
      </c>
      <c r="L9" s="152">
        <f>I9*1000000/(R9*3600)</f>
        <v>4.6292494662506165E-3</v>
      </c>
      <c r="M9" s="49">
        <v>13.6</v>
      </c>
      <c r="N9" s="49">
        <v>0.53</v>
      </c>
      <c r="O9" s="154">
        <v>45</v>
      </c>
      <c r="P9" s="49">
        <v>15.003</v>
      </c>
      <c r="Q9" s="49">
        <v>18</v>
      </c>
      <c r="R9" s="49">
        <v>6089</v>
      </c>
    </row>
    <row r="10" spans="1:23" ht="15" thickBot="1" x14ac:dyDescent="0.35">
      <c r="A10" s="64" t="s">
        <v>117</v>
      </c>
      <c r="B10" s="65" t="s">
        <v>121</v>
      </c>
      <c r="C10" s="237"/>
      <c r="D10" s="66">
        <f>C19</f>
        <v>2.2747447370623315E-4</v>
      </c>
      <c r="E10" s="66">
        <f>C20</f>
        <v>1.0758927810429945E-4</v>
      </c>
      <c r="F10" s="66">
        <f>C21</f>
        <v>1.6292090684365347E-5</v>
      </c>
      <c r="G10" s="123">
        <f>$C$5*D10/1000</f>
        <v>0.83938080797600023</v>
      </c>
      <c r="H10" s="123">
        <f>$C$5*E10/1000</f>
        <v>0.39700443620486497</v>
      </c>
      <c r="I10" s="123">
        <f>$C$5*F10/1000</f>
        <v>6.011781462530813E-2</v>
      </c>
      <c r="J10" s="142">
        <f>G10*1000000/(R10*3600)</f>
        <v>3.8292221308735254E-2</v>
      </c>
      <c r="K10" s="142">
        <f>H10*1000000/(R10*3600)</f>
        <v>1.811118575413154E-2</v>
      </c>
      <c r="L10" s="142">
        <f>I10*1000000/(R10*3600)</f>
        <v>2.742550985625633E-3</v>
      </c>
      <c r="M10" s="6"/>
      <c r="N10" s="6"/>
      <c r="O10" s="49">
        <v>0</v>
      </c>
      <c r="P10" s="6"/>
      <c r="Q10" s="49">
        <v>18</v>
      </c>
      <c r="R10" s="49">
        <v>6089</v>
      </c>
    </row>
    <row r="11" spans="1:23" s="1" customFormat="1" x14ac:dyDescent="0.3">
      <c r="A11" s="67" t="s">
        <v>24</v>
      </c>
      <c r="B11" s="67"/>
      <c r="C11" s="67"/>
      <c r="D11" s="67"/>
      <c r="E11" s="67"/>
      <c r="F11" s="67"/>
      <c r="G11" s="140">
        <f>G5+G6+G8+G9+G10</f>
        <v>4.9535424239280008</v>
      </c>
      <c r="H11" s="140">
        <f t="shared" ref="H11:K11" si="2">H5+H6+H8+H9+H10</f>
        <v>2.2869433086145952</v>
      </c>
      <c r="I11" s="140">
        <f t="shared" si="2"/>
        <v>0.38330344387592441</v>
      </c>
      <c r="J11" s="140">
        <f t="shared" si="2"/>
        <v>0.22772099978497309</v>
      </c>
      <c r="K11" s="140">
        <f t="shared" si="2"/>
        <v>0.10515353532771667</v>
      </c>
      <c r="L11" s="140">
        <f>L5+L6+L8+L9+L10</f>
        <v>1.7610941726464463E-2</v>
      </c>
    </row>
    <row r="12" spans="1:23" x14ac:dyDescent="0.3">
      <c r="G12" s="73"/>
      <c r="H12" s="73"/>
      <c r="I12" s="73"/>
      <c r="J12" s="73"/>
      <c r="K12" s="73"/>
      <c r="L12" s="73"/>
    </row>
    <row r="13" spans="1:23" x14ac:dyDescent="0.3">
      <c r="B13" s="56" t="s">
        <v>94</v>
      </c>
      <c r="C13" s="51"/>
      <c r="G13" s="73"/>
      <c r="H13" s="73"/>
      <c r="I13" s="73"/>
      <c r="J13" s="73"/>
      <c r="K13" s="73"/>
      <c r="L13" s="73"/>
    </row>
    <row r="14" spans="1:23" x14ac:dyDescent="0.3">
      <c r="A14" s="58" t="s">
        <v>88</v>
      </c>
      <c r="B14" s="54" t="s">
        <v>89</v>
      </c>
      <c r="C14" s="54">
        <v>3.5</v>
      </c>
      <c r="D14" s="53" t="s">
        <v>18</v>
      </c>
      <c r="E14" s="51"/>
      <c r="F14" s="51"/>
      <c r="G14" s="124"/>
      <c r="H14" s="124"/>
      <c r="I14" s="124"/>
      <c r="J14" s="73"/>
      <c r="K14" s="73"/>
      <c r="L14" s="73"/>
    </row>
    <row r="15" spans="1:23" x14ac:dyDescent="0.3">
      <c r="A15" s="51"/>
      <c r="B15" s="54" t="s">
        <v>90</v>
      </c>
      <c r="C15" s="54">
        <v>10</v>
      </c>
      <c r="D15" s="53" t="s">
        <v>91</v>
      </c>
      <c r="E15" s="59"/>
    </row>
    <row r="16" spans="1:23" x14ac:dyDescent="0.3">
      <c r="A16" s="51"/>
      <c r="B16" s="54" t="s">
        <v>92</v>
      </c>
      <c r="C16" s="54">
        <v>0.74</v>
      </c>
      <c r="D16" s="53" t="s">
        <v>93</v>
      </c>
      <c r="G16" s="51"/>
      <c r="H16" s="51"/>
      <c r="I16" s="51"/>
    </row>
    <row r="17" spans="1:12" x14ac:dyDescent="0.3">
      <c r="A17" s="51"/>
      <c r="B17" s="54" t="s">
        <v>95</v>
      </c>
      <c r="C17" s="54">
        <v>0.35</v>
      </c>
      <c r="D17" s="53" t="s">
        <v>96</v>
      </c>
      <c r="E17" s="56"/>
      <c r="F17" s="51"/>
      <c r="G17" s="51"/>
      <c r="H17" s="51"/>
      <c r="I17" s="51"/>
      <c r="L17" s="112"/>
    </row>
    <row r="18" spans="1:12" x14ac:dyDescent="0.3">
      <c r="A18" s="51"/>
      <c r="B18" s="54" t="s">
        <v>97</v>
      </c>
      <c r="C18" s="54">
        <v>5.2999999999999999E-2</v>
      </c>
      <c r="D18" s="53" t="s">
        <v>96</v>
      </c>
      <c r="E18" s="51"/>
      <c r="F18" s="51"/>
      <c r="G18" s="51"/>
      <c r="H18" s="51"/>
      <c r="I18" s="51"/>
    </row>
    <row r="19" spans="1:12" x14ac:dyDescent="0.3">
      <c r="A19" s="51"/>
      <c r="B19" s="107" t="s">
        <v>98</v>
      </c>
      <c r="C19" s="108">
        <f>C16*0.0016*(C14/2.2)^1.3/(C15/2)^1.4</f>
        <v>2.2747447370623315E-4</v>
      </c>
      <c r="D19" s="53" t="s">
        <v>29</v>
      </c>
      <c r="E19" s="51"/>
      <c r="F19" s="51"/>
      <c r="G19" s="51"/>
      <c r="H19" s="51"/>
      <c r="I19" s="51"/>
    </row>
    <row r="20" spans="1:12" x14ac:dyDescent="0.3">
      <c r="A20" s="51"/>
      <c r="B20" s="107" t="s">
        <v>99</v>
      </c>
      <c r="C20" s="108">
        <f>C17*0.0016*(C14/2.2)^1.3/(C15/2)^1.4</f>
        <v>1.0758927810429945E-4</v>
      </c>
      <c r="D20" s="53" t="s">
        <v>29</v>
      </c>
      <c r="E20" s="51"/>
      <c r="F20" s="51"/>
      <c r="G20" s="51"/>
      <c r="H20" s="51"/>
      <c r="I20" s="51"/>
    </row>
    <row r="21" spans="1:12" x14ac:dyDescent="0.3">
      <c r="A21" s="51"/>
      <c r="B21" s="107" t="s">
        <v>100</v>
      </c>
      <c r="C21" s="108">
        <f>C18*0.0016*(C14/2.2)^1.3/(C15/2)^1.4</f>
        <v>1.6292090684365347E-5</v>
      </c>
      <c r="D21" s="53" t="s">
        <v>29</v>
      </c>
      <c r="E21" s="51"/>
      <c r="F21" s="51"/>
      <c r="G21" s="51"/>
      <c r="H21" s="51"/>
      <c r="I21" s="51"/>
    </row>
    <row r="23" spans="1:12" x14ac:dyDescent="0.3">
      <c r="A23" s="51"/>
      <c r="B23" s="56" t="s">
        <v>70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</row>
    <row r="24" spans="1:12" x14ac:dyDescent="0.3">
      <c r="A24" s="59" t="s">
        <v>111</v>
      </c>
      <c r="B24" s="56" t="s">
        <v>101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1:12" ht="27.6" x14ac:dyDescent="0.3">
      <c r="A25" s="51"/>
      <c r="B25" s="109" t="s">
        <v>102</v>
      </c>
      <c r="C25" s="110" t="s">
        <v>103</v>
      </c>
      <c r="D25" s="110" t="s">
        <v>104</v>
      </c>
      <c r="E25" s="111" t="s">
        <v>105</v>
      </c>
      <c r="F25" s="110" t="s">
        <v>106</v>
      </c>
      <c r="G25" s="110" t="s">
        <v>107</v>
      </c>
      <c r="H25" s="111" t="s">
        <v>108</v>
      </c>
      <c r="I25" s="51"/>
      <c r="J25" s="51"/>
      <c r="K25" s="51"/>
      <c r="L25" s="51"/>
    </row>
    <row r="26" spans="1:12" x14ac:dyDescent="0.3">
      <c r="A26" s="51"/>
      <c r="B26" s="60" t="s">
        <v>109</v>
      </c>
      <c r="C26" s="60">
        <v>2.7000000000000001E-3</v>
      </c>
      <c r="D26" s="60">
        <v>1.1999999999999999E-3</v>
      </c>
      <c r="E26" s="60">
        <v>5.9999999999999995E-4</v>
      </c>
      <c r="F26" s="60">
        <v>5.9999999999999995E-4</v>
      </c>
      <c r="G26" s="60">
        <v>2.7E-4</v>
      </c>
      <c r="H26" s="60">
        <v>5.0000000000000002E-5</v>
      </c>
      <c r="I26" s="51"/>
      <c r="J26" s="51"/>
      <c r="K26" s="51"/>
      <c r="L26" s="51"/>
    </row>
    <row r="27" spans="1:12" x14ac:dyDescent="0.3">
      <c r="A27" s="51"/>
      <c r="B27" s="61"/>
      <c r="C27" s="61"/>
      <c r="D27" s="61"/>
      <c r="E27" s="61"/>
      <c r="F27" s="61"/>
      <c r="G27" s="61"/>
      <c r="H27" s="61"/>
      <c r="I27" s="51"/>
      <c r="J27" s="51"/>
      <c r="K27" s="51"/>
      <c r="L27" s="51"/>
    </row>
    <row r="28" spans="1:12" x14ac:dyDescent="0.3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70"/>
    </row>
    <row r="31" spans="1:12" x14ac:dyDescent="0.3">
      <c r="K31" s="71"/>
    </row>
  </sheetData>
  <mergeCells count="23">
    <mergeCell ref="C5:C10"/>
    <mergeCell ref="C2:C4"/>
    <mergeCell ref="B2:B4"/>
    <mergeCell ref="G2:I2"/>
    <mergeCell ref="J2:L2"/>
    <mergeCell ref="J3:J4"/>
    <mergeCell ref="K3:K4"/>
    <mergeCell ref="L3:L4"/>
    <mergeCell ref="G3:G4"/>
    <mergeCell ref="H3:H4"/>
    <mergeCell ref="I3:I4"/>
    <mergeCell ref="B5:B6"/>
    <mergeCell ref="A2:A4"/>
    <mergeCell ref="D3:D4"/>
    <mergeCell ref="D2:F2"/>
    <mergeCell ref="E3:E4"/>
    <mergeCell ref="F3:F4"/>
    <mergeCell ref="M3:M4"/>
    <mergeCell ref="R3:R4"/>
    <mergeCell ref="N3:N4"/>
    <mergeCell ref="O3:O4"/>
    <mergeCell ref="P3:P4"/>
    <mergeCell ref="Q3:Q4"/>
  </mergeCells>
  <phoneticPr fontId="18" type="noConversion"/>
  <hyperlinks>
    <hyperlink ref="B13" r:id="rId1" xr:uid="{00000000-0004-0000-0300-000000000000}"/>
    <hyperlink ref="B24" r:id="rId2" xr:uid="{00000000-0004-0000-0300-000001000000}"/>
    <hyperlink ref="B23" r:id="rId3" xr:uid="{00000000-0004-0000-0300-000002000000}"/>
  </hyperlinks>
  <pageMargins left="0.7" right="0.7" top="0.75" bottom="0.75" header="0.3" footer="0.3"/>
  <pageSetup paperSize="9" orientation="portrait" r:id="rId4"/>
  <legacy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7"/>
  <sheetViews>
    <sheetView workbookViewId="0">
      <selection activeCell="L11" sqref="L11"/>
    </sheetView>
  </sheetViews>
  <sheetFormatPr defaultRowHeight="14.4" x14ac:dyDescent="0.3"/>
  <cols>
    <col min="1" max="1" width="57.109375" customWidth="1"/>
    <col min="2" max="2" width="18.109375" customWidth="1"/>
    <col min="3" max="3" width="14.109375" customWidth="1"/>
    <col min="4" max="4" width="11.5546875" customWidth="1"/>
    <col min="5" max="5" width="13.77734375" customWidth="1"/>
    <col min="12" max="12" width="13.44140625" customWidth="1"/>
    <col min="13" max="13" width="13.109375" customWidth="1"/>
    <col min="14" max="14" width="15.44140625" customWidth="1"/>
  </cols>
  <sheetData>
    <row r="1" spans="1:16" ht="60" x14ac:dyDescent="0.3">
      <c r="A1" s="135" t="s">
        <v>186</v>
      </c>
      <c r="H1" s="134"/>
    </row>
    <row r="3" spans="1:16" x14ac:dyDescent="0.3">
      <c r="A3" s="141" t="s">
        <v>199</v>
      </c>
    </row>
    <row r="4" spans="1:16" ht="15" x14ac:dyDescent="0.3">
      <c r="A4" s="136" t="s">
        <v>187</v>
      </c>
      <c r="B4" s="9">
        <v>75000</v>
      </c>
      <c r="C4" s="6" t="s">
        <v>23</v>
      </c>
    </row>
    <row r="5" spans="1:16" x14ac:dyDescent="0.3">
      <c r="A5" s="6" t="s">
        <v>188</v>
      </c>
      <c r="B5" s="9">
        <v>15</v>
      </c>
      <c r="C5" s="6" t="s">
        <v>6</v>
      </c>
    </row>
    <row r="6" spans="1:16" x14ac:dyDescent="0.3">
      <c r="A6" s="6" t="s">
        <v>122</v>
      </c>
      <c r="B6" s="9">
        <v>8760</v>
      </c>
      <c r="C6" s="6" t="s">
        <v>8</v>
      </c>
    </row>
    <row r="8" spans="1:16" x14ac:dyDescent="0.3">
      <c r="A8" s="6" t="s">
        <v>190</v>
      </c>
      <c r="B8" s="6">
        <v>10</v>
      </c>
      <c r="C8" s="6" t="s">
        <v>191</v>
      </c>
    </row>
    <row r="9" spans="1:16" ht="15" x14ac:dyDescent="0.3">
      <c r="A9" s="136" t="s">
        <v>189</v>
      </c>
      <c r="B9" s="6">
        <v>0.5</v>
      </c>
      <c r="C9" s="6" t="s">
        <v>191</v>
      </c>
    </row>
    <row r="12" spans="1:16" x14ac:dyDescent="0.3">
      <c r="A12" s="137" t="s">
        <v>195</v>
      </c>
      <c r="K12" s="1"/>
    </row>
    <row r="13" spans="1:16" x14ac:dyDescent="0.3">
      <c r="A13" t="s">
        <v>192</v>
      </c>
      <c r="B13" s="6" t="s">
        <v>193</v>
      </c>
      <c r="C13" s="6">
        <f>B4</f>
        <v>75000</v>
      </c>
      <c r="D13" s="6">
        <f>B8</f>
        <v>10</v>
      </c>
      <c r="E13" s="247">
        <v>1000000</v>
      </c>
      <c r="F13" s="247"/>
      <c r="G13" s="138">
        <f>C13*D13/E13</f>
        <v>0.75</v>
      </c>
      <c r="H13" s="49" t="s">
        <v>23</v>
      </c>
      <c r="L13" s="73"/>
      <c r="O13" s="144"/>
      <c r="P13" s="145"/>
    </row>
    <row r="14" spans="1:16" x14ac:dyDescent="0.3">
      <c r="B14" s="6" t="s">
        <v>194</v>
      </c>
      <c r="C14" s="6">
        <f>B4</f>
        <v>75000</v>
      </c>
      <c r="D14" s="6">
        <f>B9</f>
        <v>0.5</v>
      </c>
      <c r="E14" s="247">
        <v>1000000</v>
      </c>
      <c r="F14" s="247"/>
      <c r="G14" s="138">
        <f>C14*D14/E14</f>
        <v>3.7499999999999999E-2</v>
      </c>
      <c r="H14" s="49" t="s">
        <v>23</v>
      </c>
      <c r="L14" s="73"/>
      <c r="O14" s="144"/>
      <c r="P14" s="145"/>
    </row>
    <row r="15" spans="1:16" x14ac:dyDescent="0.3">
      <c r="H15" s="1"/>
      <c r="L15" s="71"/>
      <c r="O15" s="144"/>
      <c r="P15" s="145"/>
    </row>
    <row r="16" spans="1:16" x14ac:dyDescent="0.3">
      <c r="A16" s="137" t="s">
        <v>196</v>
      </c>
      <c r="B16" s="6" t="s">
        <v>193</v>
      </c>
      <c r="C16" s="6">
        <f>C13</f>
        <v>75000</v>
      </c>
      <c r="D16" s="6">
        <f>D13</f>
        <v>10</v>
      </c>
      <c r="E16" s="6">
        <f>B6</f>
        <v>8760</v>
      </c>
      <c r="F16" s="6">
        <v>3600</v>
      </c>
      <c r="G16" s="139">
        <f>C16*D16/E16/F16</f>
        <v>2.3782343987823439E-2</v>
      </c>
      <c r="H16" s="49" t="s">
        <v>149</v>
      </c>
      <c r="L16" s="71"/>
      <c r="O16" s="144"/>
      <c r="P16" s="145"/>
    </row>
    <row r="17" spans="1:16" x14ac:dyDescent="0.3">
      <c r="A17" t="s">
        <v>197</v>
      </c>
      <c r="B17" s="6" t="s">
        <v>194</v>
      </c>
      <c r="C17" s="6">
        <f>C14</f>
        <v>75000</v>
      </c>
      <c r="D17" s="6">
        <f>D14</f>
        <v>0.5</v>
      </c>
      <c r="E17" s="6">
        <f>B6</f>
        <v>8760</v>
      </c>
      <c r="F17" s="6">
        <v>3600</v>
      </c>
      <c r="G17" s="139">
        <f>C17*D17/E17/F17</f>
        <v>1.1891171993911719E-3</v>
      </c>
      <c r="H17" s="49" t="s">
        <v>149</v>
      </c>
      <c r="L17" s="71"/>
      <c r="O17" s="144"/>
      <c r="P17" s="145"/>
    </row>
    <row r="20" spans="1:16" s="89" customFormat="1" x14ac:dyDescent="0.3"/>
    <row r="21" spans="1:16" s="89" customFormat="1" x14ac:dyDescent="0.3"/>
    <row r="22" spans="1:16" s="143" customFormat="1" x14ac:dyDescent="0.3">
      <c r="C22" s="146"/>
      <c r="E22" s="146"/>
      <c r="L22" s="146"/>
      <c r="N22" s="146"/>
    </row>
    <row r="23" spans="1:16" s="89" customFormat="1" x14ac:dyDescent="0.3">
      <c r="F23" s="147"/>
      <c r="G23" s="148"/>
      <c r="O23" s="147"/>
      <c r="P23" s="148"/>
    </row>
    <row r="24" spans="1:16" s="89" customFormat="1" x14ac:dyDescent="0.3">
      <c r="C24" s="149"/>
      <c r="E24" s="150"/>
      <c r="F24" s="147"/>
      <c r="G24" s="148"/>
      <c r="L24" s="149"/>
      <c r="N24" s="150"/>
      <c r="O24" s="147"/>
      <c r="P24" s="148"/>
    </row>
    <row r="25" spans="1:16" s="89" customFormat="1" x14ac:dyDescent="0.3"/>
    <row r="26" spans="1:16" s="89" customFormat="1" x14ac:dyDescent="0.3"/>
    <row r="27" spans="1:16" s="89" customFormat="1" x14ac:dyDescent="0.3"/>
  </sheetData>
  <mergeCells count="2">
    <mergeCell ref="E13:F13"/>
    <mergeCell ref="E14:F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051C7-64FB-4BA1-AF2F-186A9404D6F3}">
  <dimension ref="A1:O55"/>
  <sheetViews>
    <sheetView workbookViewId="0">
      <selection activeCell="I46" sqref="I46"/>
    </sheetView>
  </sheetViews>
  <sheetFormatPr defaultRowHeight="14.4" x14ac:dyDescent="0.3"/>
  <cols>
    <col min="1" max="1" width="20.44140625" customWidth="1"/>
    <col min="2" max="2" width="23.21875" customWidth="1"/>
    <col min="3" max="3" width="17.21875" customWidth="1"/>
    <col min="4" max="4" width="15.6640625" customWidth="1"/>
    <col min="5" max="10" width="11.6640625" customWidth="1"/>
    <col min="11" max="11" width="14.77734375" customWidth="1"/>
    <col min="14" max="14" width="12.77734375" customWidth="1"/>
  </cols>
  <sheetData>
    <row r="1" spans="1:12" x14ac:dyDescent="0.3">
      <c r="A1" s="175" t="s">
        <v>232</v>
      </c>
    </row>
    <row r="2" spans="1:12" x14ac:dyDescent="0.3">
      <c r="A2" s="6" t="s">
        <v>233</v>
      </c>
      <c r="B2" s="9">
        <v>60000</v>
      </c>
      <c r="C2" s="49" t="s">
        <v>234</v>
      </c>
    </row>
    <row r="3" spans="1:12" ht="15" x14ac:dyDescent="0.3">
      <c r="A3" s="157" t="s">
        <v>206</v>
      </c>
      <c r="B3" s="160">
        <v>0.33</v>
      </c>
      <c r="C3" s="158" t="s">
        <v>204</v>
      </c>
      <c r="L3" s="203"/>
    </row>
    <row r="4" spans="1:12" ht="15" x14ac:dyDescent="0.3">
      <c r="A4" s="157" t="s">
        <v>235</v>
      </c>
      <c r="B4" s="176">
        <f>B2*B3</f>
        <v>19800</v>
      </c>
      <c r="C4" s="158" t="s">
        <v>23</v>
      </c>
      <c r="L4" s="203"/>
    </row>
    <row r="5" spans="1:12" ht="15" x14ac:dyDescent="0.3">
      <c r="A5" s="157" t="s">
        <v>205</v>
      </c>
      <c r="B5" s="157">
        <v>380</v>
      </c>
      <c r="C5" s="158" t="s">
        <v>10</v>
      </c>
      <c r="L5" s="203"/>
    </row>
    <row r="6" spans="1:12" x14ac:dyDescent="0.3">
      <c r="A6" s="157" t="s">
        <v>122</v>
      </c>
      <c r="B6" s="159">
        <f>ROUND(B2/B5,0)</f>
        <v>158</v>
      </c>
      <c r="C6" s="158" t="s">
        <v>8</v>
      </c>
    </row>
    <row r="7" spans="1:12" x14ac:dyDescent="0.3">
      <c r="A7" s="173"/>
      <c r="B7" s="177"/>
      <c r="C7" s="174"/>
      <c r="H7" s="206"/>
    </row>
    <row r="8" spans="1:12" ht="15.6" x14ac:dyDescent="0.3">
      <c r="A8" s="214" t="s">
        <v>207</v>
      </c>
    </row>
    <row r="9" spans="1:12" s="1" customFormat="1" ht="15.6" x14ac:dyDescent="0.3">
      <c r="A9" s="161" t="s">
        <v>208</v>
      </c>
      <c r="B9" s="161" t="s">
        <v>209</v>
      </c>
      <c r="C9" s="161" t="s">
        <v>210</v>
      </c>
      <c r="D9" s="161" t="s">
        <v>211</v>
      </c>
      <c r="I9" s="205" t="s">
        <v>244</v>
      </c>
      <c r="J9"/>
      <c r="K9"/>
      <c r="L9"/>
    </row>
    <row r="10" spans="1:12" ht="15" x14ac:dyDescent="0.3">
      <c r="A10" s="162" t="s">
        <v>212</v>
      </c>
      <c r="B10" s="162" t="s">
        <v>213</v>
      </c>
      <c r="C10" s="169">
        <f>B4</f>
        <v>19800</v>
      </c>
      <c r="D10" s="164" t="s">
        <v>23</v>
      </c>
      <c r="I10" s="178"/>
      <c r="J10" s="204" t="s">
        <v>149</v>
      </c>
      <c r="K10" s="204" t="s">
        <v>23</v>
      </c>
      <c r="L10" s="202"/>
    </row>
    <row r="11" spans="1:12" ht="15" x14ac:dyDescent="0.3">
      <c r="A11" s="165" t="s">
        <v>214</v>
      </c>
      <c r="B11" s="165" t="s">
        <v>215</v>
      </c>
      <c r="C11" s="163">
        <v>45</v>
      </c>
      <c r="D11" s="166" t="s">
        <v>91</v>
      </c>
      <c r="I11" s="170" t="s">
        <v>226</v>
      </c>
      <c r="J11" s="138">
        <f>ROUND(C20+H28,3)</f>
        <v>2.2599999999999998</v>
      </c>
      <c r="K11" s="138">
        <f>ROUND(C17+E28,3)</f>
        <v>1.286</v>
      </c>
      <c r="L11" s="202"/>
    </row>
    <row r="12" spans="1:12" ht="15" x14ac:dyDescent="0.3">
      <c r="A12" s="165" t="s">
        <v>216</v>
      </c>
      <c r="B12" s="165" t="s">
        <v>217</v>
      </c>
      <c r="C12" s="167">
        <f>C10-C10*C11/100</f>
        <v>10890</v>
      </c>
      <c r="D12" s="166" t="s">
        <v>23</v>
      </c>
      <c r="I12" s="170" t="s">
        <v>71</v>
      </c>
      <c r="J12" s="138">
        <f>ROUND(C21+I28,3)</f>
        <v>1.742</v>
      </c>
      <c r="K12" s="172">
        <f>ROUND(C18+F28,3)</f>
        <v>0.99099999999999999</v>
      </c>
      <c r="L12" s="202"/>
    </row>
    <row r="13" spans="1:12" ht="15" x14ac:dyDescent="0.3">
      <c r="A13" s="165" t="s">
        <v>218</v>
      </c>
      <c r="B13" s="168" t="s">
        <v>219</v>
      </c>
      <c r="C13" s="169">
        <f>B6</f>
        <v>158</v>
      </c>
      <c r="D13" s="166" t="s">
        <v>8</v>
      </c>
      <c r="I13" s="170" t="s">
        <v>72</v>
      </c>
      <c r="J13" s="138">
        <f>ROUND(C22+J28,3)</f>
        <v>0.153</v>
      </c>
      <c r="K13" s="138">
        <f>ROUND(C19+G28,3)</f>
        <v>8.6999999999999994E-2</v>
      </c>
    </row>
    <row r="14" spans="1:12" ht="15" x14ac:dyDescent="0.3">
      <c r="A14" s="165" t="s">
        <v>220</v>
      </c>
      <c r="B14" s="170" t="s">
        <v>221</v>
      </c>
      <c r="C14" s="171">
        <v>0.11799999999999999</v>
      </c>
      <c r="D14" s="166" t="s">
        <v>29</v>
      </c>
    </row>
    <row r="15" spans="1:12" ht="15" x14ac:dyDescent="0.3">
      <c r="A15" s="165" t="s">
        <v>222</v>
      </c>
      <c r="B15" s="170" t="s">
        <v>189</v>
      </c>
      <c r="C15" s="171">
        <v>9.0999999999999998E-2</v>
      </c>
      <c r="D15" s="166" t="s">
        <v>29</v>
      </c>
    </row>
    <row r="16" spans="1:12" ht="15" x14ac:dyDescent="0.3">
      <c r="A16" s="165" t="s">
        <v>223</v>
      </c>
      <c r="B16" s="170" t="s">
        <v>224</v>
      </c>
      <c r="C16" s="171">
        <v>8.0000000000000002E-3</v>
      </c>
      <c r="D16" s="166" t="s">
        <v>29</v>
      </c>
    </row>
    <row r="17" spans="1:15" ht="16.8" x14ac:dyDescent="0.3">
      <c r="A17" s="165" t="s">
        <v>225</v>
      </c>
      <c r="B17" s="170" t="s">
        <v>226</v>
      </c>
      <c r="C17" s="201">
        <f>ROUND((C12*C14/1000),3)</f>
        <v>1.2849999999999999</v>
      </c>
      <c r="D17" s="166" t="s">
        <v>23</v>
      </c>
    </row>
    <row r="18" spans="1:15" ht="16.8" x14ac:dyDescent="0.3">
      <c r="A18" s="165" t="s">
        <v>227</v>
      </c>
      <c r="B18" s="170" t="s">
        <v>71</v>
      </c>
      <c r="C18" s="201">
        <f>ROUND((C12*C15/1000),3)</f>
        <v>0.99099999999999999</v>
      </c>
      <c r="D18" s="166" t="s">
        <v>23</v>
      </c>
    </row>
    <row r="19" spans="1:15" ht="16.8" x14ac:dyDescent="0.3">
      <c r="A19" s="165" t="s">
        <v>228</v>
      </c>
      <c r="B19" s="170" t="s">
        <v>72</v>
      </c>
      <c r="C19" s="201">
        <f>ROUND((C12*C16/1000),3)</f>
        <v>8.6999999999999994E-2</v>
      </c>
      <c r="D19" s="166" t="s">
        <v>23</v>
      </c>
    </row>
    <row r="20" spans="1:15" ht="15" x14ac:dyDescent="0.3">
      <c r="A20" s="165" t="s">
        <v>229</v>
      </c>
      <c r="B20" s="170" t="s">
        <v>226</v>
      </c>
      <c r="C20" s="201">
        <f>ROUND((C12*C14/C13*1000/3600),3)</f>
        <v>2.2589999999999999</v>
      </c>
      <c r="D20" s="166" t="s">
        <v>149</v>
      </c>
    </row>
    <row r="21" spans="1:15" ht="15" x14ac:dyDescent="0.3">
      <c r="A21" s="165" t="s">
        <v>230</v>
      </c>
      <c r="B21" s="170" t="s">
        <v>71</v>
      </c>
      <c r="C21" s="201">
        <f>ROUND((C12*C15/C13*1000/3600),3)</f>
        <v>1.742</v>
      </c>
      <c r="D21" s="166" t="s">
        <v>149</v>
      </c>
    </row>
    <row r="22" spans="1:15" ht="15" x14ac:dyDescent="0.3">
      <c r="A22" s="165" t="s">
        <v>231</v>
      </c>
      <c r="B22" s="170" t="s">
        <v>72</v>
      </c>
      <c r="C22" s="201">
        <f>ROUND((C12*C16/C13*1000/3600),3)</f>
        <v>0.153</v>
      </c>
      <c r="D22" s="166" t="s">
        <v>149</v>
      </c>
    </row>
    <row r="24" spans="1:15" ht="16.8" customHeight="1" x14ac:dyDescent="0.3">
      <c r="A24" s="251" t="s">
        <v>243</v>
      </c>
      <c r="B24" s="251"/>
      <c r="E24" s="179"/>
      <c r="F24" s="179"/>
    </row>
    <row r="25" spans="1:15" x14ac:dyDescent="0.3">
      <c r="A25" s="186" t="s">
        <v>94</v>
      </c>
      <c r="B25" s="185"/>
      <c r="C25" s="179"/>
      <c r="D25" s="179"/>
      <c r="E25" s="179"/>
      <c r="F25" s="179"/>
    </row>
    <row r="26" spans="1:15" ht="41.4" customHeight="1" x14ac:dyDescent="0.3">
      <c r="A26" s="208" t="s">
        <v>112</v>
      </c>
      <c r="B26" s="248" t="s">
        <v>81</v>
      </c>
      <c r="C26" s="249"/>
      <c r="D26" s="250"/>
      <c r="E26" s="248" t="s">
        <v>82</v>
      </c>
      <c r="F26" s="249"/>
      <c r="G26" s="250"/>
      <c r="H26" s="248" t="s">
        <v>83</v>
      </c>
      <c r="I26" s="249"/>
      <c r="J26" s="250"/>
      <c r="K26" s="209" t="s">
        <v>25</v>
      </c>
    </row>
    <row r="27" spans="1:15" s="1" customFormat="1" x14ac:dyDescent="0.3">
      <c r="A27" s="210"/>
      <c r="B27" s="211" t="s">
        <v>50</v>
      </c>
      <c r="C27" s="211" t="s">
        <v>71</v>
      </c>
      <c r="D27" s="211" t="s">
        <v>72</v>
      </c>
      <c r="E27" s="211" t="s">
        <v>50</v>
      </c>
      <c r="F27" s="211" t="s">
        <v>71</v>
      </c>
      <c r="G27" s="211" t="s">
        <v>72</v>
      </c>
      <c r="H27" s="211" t="s">
        <v>50</v>
      </c>
      <c r="I27" s="211" t="s">
        <v>71</v>
      </c>
      <c r="J27" s="211" t="s">
        <v>72</v>
      </c>
      <c r="K27" s="212" t="s">
        <v>7</v>
      </c>
      <c r="L27" s="184"/>
      <c r="M27" s="184"/>
      <c r="N27" s="184"/>
      <c r="O27" s="184"/>
    </row>
    <row r="28" spans="1:15" ht="14.4" customHeight="1" x14ac:dyDescent="0.3">
      <c r="A28" s="213">
        <f>B4</f>
        <v>19800</v>
      </c>
      <c r="B28" s="181">
        <f>C37</f>
        <v>2.7697154246154748E-5</v>
      </c>
      <c r="C28" s="181">
        <f>C38</f>
        <v>1.3100005386694812E-5</v>
      </c>
      <c r="D28" s="181">
        <f>C39</f>
        <v>1.983715101413786E-6</v>
      </c>
      <c r="E28" s="182">
        <f>$C$37*A28/1000</f>
        <v>5.4840365407386401E-4</v>
      </c>
      <c r="F28" s="182">
        <f>$A$28*C28/1000</f>
        <v>2.5938010665655726E-4</v>
      </c>
      <c r="G28" s="182">
        <f>$A$28*D28/1000</f>
        <v>3.9277559007992961E-5</v>
      </c>
      <c r="H28" s="183">
        <f t="shared" ref="H28" si="0">E28*1000000/(K28*3600)</f>
        <v>9.6414144527753865E-4</v>
      </c>
      <c r="I28" s="183">
        <f t="shared" ref="I28" si="1">F28*1000000/(K28*3600)</f>
        <v>4.5601284573937632E-4</v>
      </c>
      <c r="J28" s="183">
        <f>G28*1000000/(K28*3600)</f>
        <v>6.9053373783391287E-5</v>
      </c>
      <c r="K28" s="200">
        <f>B6</f>
        <v>158</v>
      </c>
      <c r="O28" s="180"/>
    </row>
    <row r="29" spans="1:15" x14ac:dyDescent="0.3">
      <c r="B29" s="180"/>
      <c r="O29" s="180"/>
    </row>
    <row r="30" spans="1:15" ht="14.4" customHeight="1" x14ac:dyDescent="0.3">
      <c r="B30" s="199"/>
      <c r="O30" s="184"/>
    </row>
    <row r="31" spans="1:15" x14ac:dyDescent="0.3">
      <c r="A31" s="179"/>
      <c r="B31" s="187"/>
      <c r="C31" s="188" t="s">
        <v>236</v>
      </c>
      <c r="D31" s="188"/>
      <c r="E31" s="179"/>
      <c r="F31" s="179"/>
      <c r="G31" s="185"/>
      <c r="H31" s="185"/>
      <c r="I31" s="185"/>
      <c r="J31" s="185"/>
      <c r="K31" s="197"/>
      <c r="L31" s="197"/>
      <c r="M31" s="197"/>
      <c r="N31" s="179"/>
      <c r="O31" s="179"/>
    </row>
    <row r="32" spans="1:15" ht="14.4" customHeight="1" x14ac:dyDescent="0.3">
      <c r="A32" s="189" t="s">
        <v>88</v>
      </c>
      <c r="B32" s="190" t="s">
        <v>89</v>
      </c>
      <c r="C32" s="191">
        <v>3.5</v>
      </c>
      <c r="D32" s="192" t="s">
        <v>18</v>
      </c>
      <c r="E32" s="179"/>
      <c r="F32" s="179"/>
      <c r="G32" s="179"/>
      <c r="H32" s="179"/>
      <c r="I32" s="179"/>
      <c r="J32" s="179"/>
      <c r="K32" s="198"/>
      <c r="L32" s="198"/>
      <c r="M32" s="198"/>
      <c r="N32" s="184"/>
      <c r="O32" s="179"/>
    </row>
    <row r="33" spans="1:15" ht="14.4" customHeight="1" x14ac:dyDescent="0.3">
      <c r="A33" s="185"/>
      <c r="B33" s="190" t="s">
        <v>90</v>
      </c>
      <c r="C33" s="207">
        <f>C11</f>
        <v>45</v>
      </c>
      <c r="D33" s="192" t="s">
        <v>91</v>
      </c>
      <c r="E33" s="179"/>
      <c r="F33" s="179"/>
      <c r="G33" s="179"/>
      <c r="H33" s="179"/>
      <c r="I33" s="179"/>
      <c r="J33" s="179"/>
      <c r="K33" s="198"/>
      <c r="L33" s="198"/>
      <c r="M33" s="198"/>
      <c r="N33" s="179"/>
      <c r="O33" s="179"/>
    </row>
    <row r="34" spans="1:15" x14ac:dyDescent="0.3">
      <c r="A34" s="185"/>
      <c r="B34" s="190" t="s">
        <v>92</v>
      </c>
      <c r="C34" s="191">
        <v>0.74</v>
      </c>
      <c r="D34" s="192" t="s">
        <v>93</v>
      </c>
      <c r="E34" s="179"/>
      <c r="F34" s="179"/>
      <c r="G34" s="179"/>
      <c r="H34" s="179"/>
      <c r="I34" s="179"/>
      <c r="J34" s="179"/>
      <c r="K34" s="198"/>
      <c r="L34" s="198"/>
      <c r="M34" s="198"/>
      <c r="N34" s="179"/>
      <c r="O34" s="179"/>
    </row>
    <row r="35" spans="1:15" x14ac:dyDescent="0.3">
      <c r="A35" s="185"/>
      <c r="B35" s="190" t="s">
        <v>95</v>
      </c>
      <c r="C35" s="191">
        <v>0.35</v>
      </c>
      <c r="D35" s="192" t="s">
        <v>96</v>
      </c>
      <c r="E35" s="179"/>
      <c r="F35" s="179"/>
      <c r="G35" s="179"/>
      <c r="H35" s="179"/>
      <c r="I35" s="179"/>
      <c r="J35" s="179"/>
      <c r="K35" s="198"/>
      <c r="L35" s="198"/>
      <c r="M35" s="198"/>
      <c r="N35" s="179"/>
      <c r="O35" s="179"/>
    </row>
    <row r="36" spans="1:15" x14ac:dyDescent="0.3">
      <c r="A36" s="185"/>
      <c r="B36" s="190" t="s">
        <v>97</v>
      </c>
      <c r="C36" s="191">
        <v>5.2999999999999999E-2</v>
      </c>
      <c r="D36" s="192" t="s">
        <v>96</v>
      </c>
      <c r="H36" s="179"/>
      <c r="I36" s="179"/>
      <c r="J36" s="179"/>
      <c r="K36" s="179"/>
      <c r="L36" s="179"/>
      <c r="M36" s="179"/>
      <c r="N36" s="179"/>
      <c r="O36" s="179"/>
    </row>
    <row r="37" spans="1:15" x14ac:dyDescent="0.3">
      <c r="A37" s="185"/>
      <c r="B37" s="194" t="s">
        <v>98</v>
      </c>
      <c r="C37" s="195">
        <f t="shared" ref="C37" si="2">C34*0.0016*(C32/2.2)^1.3/(C33/2)^1.4</f>
        <v>2.7697154246154748E-5</v>
      </c>
      <c r="D37" s="192" t="s">
        <v>29</v>
      </c>
      <c r="F37" s="184"/>
      <c r="G37" s="184"/>
      <c r="H37" s="184"/>
      <c r="I37" s="179"/>
      <c r="J37" s="179"/>
      <c r="K37" s="179"/>
      <c r="L37" s="179"/>
      <c r="M37" s="179"/>
      <c r="N37" s="179"/>
      <c r="O37" s="179"/>
    </row>
    <row r="38" spans="1:15" ht="14.4" customHeight="1" x14ac:dyDescent="0.3">
      <c r="A38" s="185"/>
      <c r="B38" s="194" t="s">
        <v>99</v>
      </c>
      <c r="C38" s="195">
        <f t="shared" ref="C38" si="3">C35*0.0016*(C32/2.2)^1.3/(C33/2)^1.4</f>
        <v>1.3100005386694812E-5</v>
      </c>
      <c r="D38" s="192" t="s">
        <v>29</v>
      </c>
      <c r="F38" s="185"/>
      <c r="G38" s="185"/>
      <c r="H38" s="185"/>
      <c r="I38" s="179"/>
      <c r="J38" s="179"/>
      <c r="K38" s="179"/>
      <c r="L38" s="179"/>
      <c r="M38" s="179"/>
      <c r="N38" s="179"/>
      <c r="O38" s="179"/>
    </row>
    <row r="39" spans="1:15" x14ac:dyDescent="0.3">
      <c r="A39" s="185"/>
      <c r="B39" s="194" t="s">
        <v>100</v>
      </c>
      <c r="C39" s="195">
        <f t="shared" ref="C39" si="4">C36*0.0016*(C32/2.2)^1.3/(C33/2)^1.4</f>
        <v>1.983715101413786E-6</v>
      </c>
      <c r="D39" s="192" t="s">
        <v>29</v>
      </c>
      <c r="F39" s="193"/>
      <c r="G39" s="179"/>
      <c r="H39" s="185"/>
      <c r="I39" s="179"/>
      <c r="J39" s="179"/>
      <c r="K39" s="179"/>
      <c r="L39" s="179"/>
      <c r="M39" s="179"/>
      <c r="N39" s="179"/>
      <c r="O39" s="179"/>
    </row>
    <row r="40" spans="1:15" x14ac:dyDescent="0.3">
      <c r="A40" s="179"/>
      <c r="B40" s="179"/>
      <c r="C40" s="179"/>
      <c r="D40" s="179"/>
      <c r="F40" s="185"/>
      <c r="G40" s="185"/>
      <c r="H40" s="185"/>
      <c r="I40" s="179"/>
      <c r="J40" s="179"/>
      <c r="K40" s="179"/>
      <c r="L40" s="179"/>
      <c r="M40" s="179"/>
      <c r="N40" s="179"/>
      <c r="O40" s="179"/>
    </row>
    <row r="41" spans="1:15" x14ac:dyDescent="0.3">
      <c r="A41" s="179"/>
      <c r="B41" s="179"/>
      <c r="C41" s="179"/>
      <c r="D41" s="179"/>
      <c r="F41" s="185"/>
      <c r="G41" s="185"/>
      <c r="H41" s="185"/>
      <c r="I41" s="179"/>
      <c r="J41" s="179"/>
      <c r="K41" s="179"/>
      <c r="L41" s="179"/>
      <c r="M41" s="179"/>
      <c r="N41" s="179"/>
      <c r="O41" s="179"/>
    </row>
    <row r="42" spans="1:15" x14ac:dyDescent="0.3">
      <c r="A42" s="179"/>
      <c r="B42" s="179" t="s">
        <v>237</v>
      </c>
      <c r="C42" s="179"/>
      <c r="D42" s="179"/>
      <c r="F42" s="185"/>
      <c r="G42" s="185"/>
      <c r="H42" s="185"/>
      <c r="I42" s="179"/>
      <c r="J42" s="179"/>
      <c r="K42" s="179"/>
      <c r="L42" s="179"/>
      <c r="M42" s="179"/>
      <c r="N42" s="179"/>
      <c r="O42" s="179"/>
    </row>
    <row r="43" spans="1:15" x14ac:dyDescent="0.3">
      <c r="A43" s="179"/>
      <c r="B43" s="179"/>
      <c r="C43" s="179"/>
      <c r="D43" s="179"/>
      <c r="F43" s="196"/>
      <c r="G43" s="196"/>
      <c r="H43" s="196"/>
      <c r="I43" s="179"/>
      <c r="J43" s="179"/>
      <c r="K43" s="179"/>
      <c r="L43" s="179"/>
      <c r="M43" s="179"/>
      <c r="N43" s="179"/>
      <c r="O43" s="179"/>
    </row>
    <row r="44" spans="1:15" x14ac:dyDescent="0.3">
      <c r="A44" s="179"/>
      <c r="B44" s="179" t="s">
        <v>238</v>
      </c>
      <c r="C44" s="179"/>
      <c r="D44" s="179"/>
      <c r="F44" s="196"/>
      <c r="G44" s="196"/>
      <c r="H44" s="196"/>
      <c r="I44" s="179"/>
      <c r="J44" s="179"/>
      <c r="K44" s="179"/>
      <c r="L44" s="179"/>
      <c r="M44" s="179"/>
      <c r="N44" s="179"/>
      <c r="O44" s="179"/>
    </row>
    <row r="45" spans="1:15" x14ac:dyDescent="0.3">
      <c r="A45" s="179"/>
      <c r="B45" s="179" t="s">
        <v>239</v>
      </c>
      <c r="C45" s="179"/>
      <c r="D45" s="179"/>
      <c r="F45" s="196"/>
      <c r="G45" s="196"/>
      <c r="H45" s="196"/>
      <c r="I45" s="179"/>
      <c r="J45" s="179"/>
      <c r="K45" s="179"/>
      <c r="L45" s="179"/>
      <c r="M45" s="179"/>
      <c r="N45" s="179"/>
      <c r="O45" s="179"/>
    </row>
    <row r="46" spans="1:15" x14ac:dyDescent="0.3">
      <c r="A46" s="179"/>
      <c r="B46" s="179" t="s">
        <v>240</v>
      </c>
      <c r="C46" s="179"/>
      <c r="D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</row>
    <row r="47" spans="1:15" x14ac:dyDescent="0.3">
      <c r="A47" s="179"/>
      <c r="B47" s="179" t="s">
        <v>241</v>
      </c>
      <c r="C47" s="179"/>
      <c r="D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</row>
    <row r="48" spans="1:15" x14ac:dyDescent="0.3">
      <c r="A48" s="179"/>
      <c r="B48" s="179" t="s">
        <v>242</v>
      </c>
      <c r="C48" s="179"/>
      <c r="D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</row>
    <row r="49" spans="2:15" x14ac:dyDescent="0.3">
      <c r="F49" s="179"/>
      <c r="G49" s="179"/>
      <c r="H49" s="179"/>
      <c r="I49" s="179"/>
      <c r="J49" s="179"/>
      <c r="K49" s="179"/>
      <c r="L49" s="179"/>
      <c r="M49" s="179"/>
      <c r="N49" s="179"/>
      <c r="O49" s="179"/>
    </row>
    <row r="50" spans="2:15" x14ac:dyDescent="0.3">
      <c r="F50" s="179"/>
      <c r="G50" s="179"/>
      <c r="H50" s="179"/>
      <c r="I50" s="179"/>
      <c r="J50" s="179"/>
      <c r="K50" s="179"/>
      <c r="L50" s="179"/>
      <c r="M50" s="179"/>
      <c r="N50" s="179"/>
      <c r="O50" s="179"/>
    </row>
    <row r="51" spans="2:15" x14ac:dyDescent="0.3">
      <c r="F51" s="179"/>
      <c r="G51" s="179"/>
      <c r="H51" s="179"/>
      <c r="I51" s="179"/>
      <c r="J51" s="179"/>
      <c r="K51" s="179"/>
      <c r="L51" s="179"/>
      <c r="M51" s="179"/>
      <c r="N51" s="179"/>
      <c r="O51" s="179"/>
    </row>
    <row r="52" spans="2:15" x14ac:dyDescent="0.3">
      <c r="F52" s="179"/>
      <c r="G52" s="179"/>
      <c r="H52" s="179"/>
      <c r="I52" s="179"/>
      <c r="J52" s="179"/>
      <c r="K52" s="179"/>
      <c r="L52" s="179"/>
      <c r="M52" s="179"/>
      <c r="N52" s="179"/>
      <c r="O52" s="179"/>
    </row>
    <row r="53" spans="2:15" x14ac:dyDescent="0.3">
      <c r="F53" s="179"/>
      <c r="G53" s="179"/>
      <c r="H53" s="179"/>
      <c r="I53" s="179"/>
      <c r="J53" s="179"/>
      <c r="K53" s="179"/>
      <c r="L53" s="179"/>
      <c r="M53" s="179"/>
      <c r="N53" s="179"/>
      <c r="O53" s="179"/>
    </row>
    <row r="54" spans="2:15" x14ac:dyDescent="0.3">
      <c r="F54" s="179"/>
      <c r="G54" s="179"/>
      <c r="H54" s="179"/>
      <c r="I54" s="179"/>
      <c r="J54" s="179"/>
      <c r="K54" s="179"/>
      <c r="L54" s="179"/>
      <c r="M54" s="179"/>
      <c r="N54" s="179"/>
      <c r="O54" s="179"/>
    </row>
    <row r="55" spans="2:15" x14ac:dyDescent="0.3"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</row>
  </sheetData>
  <mergeCells count="4">
    <mergeCell ref="B26:D26"/>
    <mergeCell ref="E26:G26"/>
    <mergeCell ref="H26:J26"/>
    <mergeCell ref="A24:B24"/>
  </mergeCells>
  <hyperlinks>
    <hyperlink ref="A1" r:id="rId1" location="juhendid-ja-abimater" xr:uid="{A3449026-8554-40DE-A799-4FB042C45670}"/>
    <hyperlink ref="A25" r:id="rId2" xr:uid="{FC0472AE-EF18-4752-82F0-B407271E018D}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3"/>
  <sheetViews>
    <sheetView tabSelected="1" workbookViewId="0">
      <selection activeCell="F38" sqref="F38"/>
    </sheetView>
  </sheetViews>
  <sheetFormatPr defaultColWidth="9.109375" defaultRowHeight="14.4" x14ac:dyDescent="0.3"/>
  <cols>
    <col min="1" max="1" width="32.44140625" customWidth="1"/>
    <col min="2" max="3" width="14.44140625" customWidth="1"/>
    <col min="4" max="4" width="6.5546875" customWidth="1"/>
    <col min="5" max="5" width="18.109375" customWidth="1"/>
    <col min="6" max="6" width="44.5546875" customWidth="1"/>
    <col min="7" max="7" width="15.6640625" customWidth="1"/>
  </cols>
  <sheetData>
    <row r="3" spans="1:9" x14ac:dyDescent="0.3">
      <c r="A3" s="106" t="s">
        <v>123</v>
      </c>
      <c r="B3" s="5" t="s">
        <v>149</v>
      </c>
      <c r="C3" s="5" t="s">
        <v>23</v>
      </c>
      <c r="D3" s="100"/>
      <c r="E3" s="105" t="s">
        <v>182</v>
      </c>
      <c r="F3" s="104"/>
      <c r="G3" s="7" t="s">
        <v>23</v>
      </c>
    </row>
    <row r="4" spans="1:9" x14ac:dyDescent="0.3">
      <c r="A4" s="99" t="s">
        <v>50</v>
      </c>
      <c r="B4" s="98">
        <f>'V1 Lõhkamine ja puurimine'!J20</f>
        <v>1.0471921088194232</v>
      </c>
      <c r="C4" s="102">
        <f>'V1 Lõhkamine ja puurimine'!I20</f>
        <v>188.1929882601562</v>
      </c>
      <c r="D4" s="100"/>
      <c r="E4" s="13" t="s">
        <v>74</v>
      </c>
      <c r="F4" s="94" t="s">
        <v>78</v>
      </c>
      <c r="G4" s="138">
        <f>C8</f>
        <v>170.26400000000001</v>
      </c>
    </row>
    <row r="5" spans="1:9" ht="15.75" customHeight="1" x14ac:dyDescent="0.3">
      <c r="A5" s="99" t="s">
        <v>71</v>
      </c>
      <c r="B5" s="98">
        <f>'V1 Lõhkamine ja puurimine'!J21</f>
        <v>0.5489843410305445</v>
      </c>
      <c r="C5" s="102">
        <f>'V1 Lõhkamine ja puurimine'!I21</f>
        <v>98.659073895281225</v>
      </c>
      <c r="D5" s="100"/>
      <c r="E5" s="13" t="s">
        <v>73</v>
      </c>
      <c r="F5" s="94" t="s">
        <v>77</v>
      </c>
      <c r="G5" s="138">
        <f>C7</f>
        <v>723.62199999999996</v>
      </c>
    </row>
    <row r="6" spans="1:9" ht="39" customHeight="1" x14ac:dyDescent="0.3">
      <c r="A6" s="99" t="s">
        <v>127</v>
      </c>
      <c r="B6" s="98">
        <f>'V1 Lõhkamine ja puurimine'!J22</f>
        <v>0.43738798548680496</v>
      </c>
      <c r="C6" s="102">
        <f>'V1 Lõhkamine ja puurimine'!I22</f>
        <v>78.603869647804686</v>
      </c>
      <c r="D6" s="100"/>
      <c r="E6" s="95" t="s">
        <v>168</v>
      </c>
      <c r="F6" s="94" t="s">
        <v>169</v>
      </c>
      <c r="G6" s="138">
        <f>C16</f>
        <v>0.27639053254437873</v>
      </c>
    </row>
    <row r="7" spans="1:9" x14ac:dyDescent="0.3">
      <c r="A7" s="99" t="s">
        <v>31</v>
      </c>
      <c r="B7" s="98">
        <f>'V1 Lõhkamine ja puurimine'!J23</f>
        <v>6.4425035612535613</v>
      </c>
      <c r="C7" s="102">
        <f>'V1 Lõhkamine ja puurimine'!I23</f>
        <v>723.62199999999996</v>
      </c>
      <c r="D7" s="100"/>
      <c r="E7" s="6"/>
      <c r="F7" s="94" t="s">
        <v>173</v>
      </c>
      <c r="G7" s="138">
        <f>C17</f>
        <v>8.2917159763313611E-3</v>
      </c>
    </row>
    <row r="8" spans="1:9" x14ac:dyDescent="0.3">
      <c r="A8" s="99" t="s">
        <v>32</v>
      </c>
      <c r="B8" s="98">
        <f>'V1 Lõhkamine ja puurimine'!J24</f>
        <v>1.5158831908831909</v>
      </c>
      <c r="C8" s="102">
        <f>'V1 Lõhkamine ja puurimine'!I24</f>
        <v>170.26400000000001</v>
      </c>
      <c r="D8" s="100"/>
      <c r="E8" s="96" t="s">
        <v>170</v>
      </c>
      <c r="F8" s="94" t="s">
        <v>171</v>
      </c>
      <c r="G8" s="138">
        <f>C9</f>
        <v>21.283000000000001</v>
      </c>
    </row>
    <row r="9" spans="1:9" x14ac:dyDescent="0.3">
      <c r="A9" s="99" t="s">
        <v>156</v>
      </c>
      <c r="B9" s="98">
        <f>'V1 Lõhkamine ja puurimine'!J25</f>
        <v>0.18948539886039886</v>
      </c>
      <c r="C9" s="102">
        <f>'V1 Lõhkamine ja puurimine'!I25</f>
        <v>21.283000000000001</v>
      </c>
      <c r="D9" s="100"/>
      <c r="E9" s="101" t="s">
        <v>50</v>
      </c>
      <c r="F9" s="94" t="s">
        <v>75</v>
      </c>
      <c r="G9" s="138">
        <f>C4+C20+C26+C31</f>
        <v>195.18253068408421</v>
      </c>
    </row>
    <row r="10" spans="1:9" x14ac:dyDescent="0.3">
      <c r="D10" s="100"/>
      <c r="E10" s="103" t="s">
        <v>71</v>
      </c>
      <c r="F10" s="94" t="s">
        <v>172</v>
      </c>
      <c r="G10" s="138">
        <f>C5+C21+C27+C32</f>
        <v>101.97451720389581</v>
      </c>
      <c r="I10" s="73"/>
    </row>
    <row r="11" spans="1:9" x14ac:dyDescent="0.3">
      <c r="D11" s="100"/>
      <c r="E11" s="103" t="s">
        <v>127</v>
      </c>
      <c r="F11" s="94" t="s">
        <v>76</v>
      </c>
      <c r="G11" s="138">
        <f>C6+C22+C33</f>
        <v>79.07417309168062</v>
      </c>
    </row>
    <row r="12" spans="1:9" x14ac:dyDescent="0.3">
      <c r="D12" s="100"/>
      <c r="E12" s="100"/>
      <c r="F12" s="100"/>
    </row>
    <row r="13" spans="1:9" x14ac:dyDescent="0.3">
      <c r="D13" s="100"/>
      <c r="E13" s="100"/>
      <c r="F13" s="100" t="s">
        <v>200</v>
      </c>
    </row>
    <row r="14" spans="1:9" x14ac:dyDescent="0.3">
      <c r="D14" s="100"/>
      <c r="E14" s="100"/>
      <c r="F14" s="100"/>
    </row>
    <row r="15" spans="1:9" x14ac:dyDescent="0.3">
      <c r="A15" s="106" t="s">
        <v>164</v>
      </c>
      <c r="B15" s="5" t="s">
        <v>149</v>
      </c>
      <c r="C15" s="5" t="s">
        <v>23</v>
      </c>
      <c r="D15" s="100"/>
      <c r="F15" s="100"/>
    </row>
    <row r="16" spans="1:9" x14ac:dyDescent="0.3">
      <c r="A16" s="97" t="s">
        <v>165</v>
      </c>
      <c r="B16" s="98">
        <f>'001,002A,002B Tanklad'!E19+'001,002A,002B Tanklad'!E32</f>
        <v>9.0036274500974192E-2</v>
      </c>
      <c r="C16" s="98">
        <f>('001,002A,002B Tanklad'!E16+'001,002A,002B Tanklad'!E29)/1000</f>
        <v>0.27639053254437873</v>
      </c>
      <c r="D16" s="100"/>
      <c r="F16" s="100"/>
    </row>
    <row r="17" spans="1:6" x14ac:dyDescent="0.3">
      <c r="A17" s="97" t="s">
        <v>166</v>
      </c>
      <c r="B17" s="98">
        <f>'001,002A,002B Tanklad'!E20+'001,002A,002B Tanklad'!E33</f>
        <v>2.7010882350292256E-3</v>
      </c>
      <c r="C17" s="98">
        <f>('001,002A,002B Tanklad'!E17+'001,002A,002B Tanklad'!E30)/1000</f>
        <v>8.2917159763313611E-3</v>
      </c>
      <c r="D17" s="100"/>
      <c r="F17" s="100"/>
    </row>
    <row r="18" spans="1:6" x14ac:dyDescent="0.3">
      <c r="A18" s="100"/>
      <c r="B18" s="100"/>
      <c r="C18" s="100"/>
      <c r="D18" s="100"/>
      <c r="E18" s="100"/>
      <c r="F18" s="100"/>
    </row>
    <row r="19" spans="1:6" x14ac:dyDescent="0.3">
      <c r="A19" s="106" t="s">
        <v>167</v>
      </c>
      <c r="B19" s="5" t="s">
        <v>149</v>
      </c>
      <c r="C19" s="5" t="s">
        <v>23</v>
      </c>
      <c r="D19" s="100"/>
      <c r="E19" s="100"/>
    </row>
    <row r="20" spans="1:6" x14ac:dyDescent="0.3">
      <c r="A20" s="99" t="s">
        <v>50</v>
      </c>
      <c r="B20" s="98">
        <f>'V2,V3,V4,V5 Tolm Narva jaamas'!J11</f>
        <v>0.22772099978497309</v>
      </c>
      <c r="C20" s="98">
        <f>'V2,V3,V4,V5 Tolm Narva jaamas'!G11</f>
        <v>4.9535424239280008</v>
      </c>
      <c r="D20" s="100"/>
      <c r="E20" s="100"/>
    </row>
    <row r="21" spans="1:6" x14ac:dyDescent="0.3">
      <c r="A21" s="99" t="s">
        <v>71</v>
      </c>
      <c r="B21" s="98">
        <f>'V2,V3,V4,V5 Tolm Narva jaamas'!K11</f>
        <v>0.10515353532771667</v>
      </c>
      <c r="C21" s="98">
        <f>'V2,V3,V4,V5 Tolm Narva jaamas'!H11</f>
        <v>2.2869433086145952</v>
      </c>
      <c r="D21" s="100"/>
      <c r="E21" s="153"/>
    </row>
    <row r="22" spans="1:6" x14ac:dyDescent="0.3">
      <c r="A22" s="99" t="s">
        <v>127</v>
      </c>
      <c r="B22" s="98">
        <f>'V2,V3,V4,V5 Tolm Narva jaamas'!L11</f>
        <v>1.7610941726464463E-2</v>
      </c>
      <c r="C22" s="98">
        <f>'V2,V3,V4,V5 Tolm Narva jaamas'!I11</f>
        <v>0.38330344387592441</v>
      </c>
      <c r="D22" s="100"/>
      <c r="E22" s="100"/>
    </row>
    <row r="23" spans="1:6" x14ac:dyDescent="0.3">
      <c r="A23" s="100"/>
      <c r="B23" s="100"/>
      <c r="C23" s="100"/>
    </row>
    <row r="24" spans="1:6" x14ac:dyDescent="0.3">
      <c r="A24" s="100"/>
      <c r="B24" s="100"/>
      <c r="C24" s="100"/>
    </row>
    <row r="25" spans="1:6" x14ac:dyDescent="0.3">
      <c r="A25" s="106" t="s">
        <v>198</v>
      </c>
      <c r="B25" s="5" t="s">
        <v>149</v>
      </c>
      <c r="C25" s="5" t="s">
        <v>23</v>
      </c>
    </row>
    <row r="26" spans="1:6" x14ac:dyDescent="0.3">
      <c r="A26" s="99" t="s">
        <v>50</v>
      </c>
      <c r="B26" s="98">
        <f>'V8 Biokütuseladu'!G16</f>
        <v>2.3782343987823439E-2</v>
      </c>
      <c r="C26" s="98">
        <f>'V8 Biokütuseladu'!G13</f>
        <v>0.75</v>
      </c>
    </row>
    <row r="27" spans="1:6" x14ac:dyDescent="0.3">
      <c r="A27" s="99" t="s">
        <v>71</v>
      </c>
      <c r="B27" s="98">
        <f>'V8 Biokütuseladu'!G17</f>
        <v>1.1891171993911719E-3</v>
      </c>
      <c r="C27" s="98">
        <f>'V8 Biokütuseladu'!G14</f>
        <v>3.7499999999999999E-2</v>
      </c>
    </row>
    <row r="30" spans="1:6" x14ac:dyDescent="0.3">
      <c r="A30" s="106" t="s">
        <v>207</v>
      </c>
      <c r="B30" s="5" t="s">
        <v>149</v>
      </c>
      <c r="C30" s="5" t="s">
        <v>23</v>
      </c>
    </row>
    <row r="31" spans="1:6" x14ac:dyDescent="0.3">
      <c r="A31" s="99" t="s">
        <v>50</v>
      </c>
      <c r="B31" s="98">
        <f>'V9 Purusti'!J11</f>
        <v>2.2599999999999998</v>
      </c>
      <c r="C31" s="98">
        <f>'V9 Purusti'!K11</f>
        <v>1.286</v>
      </c>
    </row>
    <row r="32" spans="1:6" x14ac:dyDescent="0.3">
      <c r="A32" s="99" t="s">
        <v>71</v>
      </c>
      <c r="B32" s="98">
        <f>'V9 Purusti'!J12</f>
        <v>1.742</v>
      </c>
      <c r="C32" s="98">
        <f>'V9 Purusti'!K12</f>
        <v>0.99099999999999999</v>
      </c>
    </row>
    <row r="33" spans="1:3" x14ac:dyDescent="0.3">
      <c r="A33" s="6" t="s">
        <v>127</v>
      </c>
      <c r="B33" s="98">
        <f>'V9 Purusti'!J13</f>
        <v>0.153</v>
      </c>
      <c r="C33" s="98">
        <f>'V9 Purusti'!K13</f>
        <v>8.6999999999999994E-2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6</vt:i4>
      </vt:variant>
      <vt:variant>
        <vt:lpstr>Nimega vahemikud</vt:lpstr>
      </vt:variant>
      <vt:variant>
        <vt:i4>4</vt:i4>
      </vt:variant>
    </vt:vector>
  </HeadingPairs>
  <TitlesOfParts>
    <vt:vector size="10" baseType="lpstr">
      <vt:lpstr>001,002A,002B Tanklad</vt:lpstr>
      <vt:lpstr>V1 Lõhkamine ja puurimine</vt:lpstr>
      <vt:lpstr>V2,V3,V4,V5 Tolm Narva jaamas</vt:lpstr>
      <vt:lpstr>V8 Biokütuseladu</vt:lpstr>
      <vt:lpstr>V9 Purusti</vt:lpstr>
      <vt:lpstr>Koond</vt:lpstr>
      <vt:lpstr>'V9 Purusti'!_ftn1</vt:lpstr>
      <vt:lpstr>'V9 Purusti'!_Toc111999977</vt:lpstr>
      <vt:lpstr>'001,002A,002B Tanklad'!para8lg1</vt:lpstr>
      <vt:lpstr>'001,002A,002B Tanklad'!para8lg2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Ain</dc:creator>
  <cp:lastModifiedBy>Ain Tõnts</cp:lastModifiedBy>
  <dcterms:created xsi:type="dcterms:W3CDTF">2020-08-10T06:35:51Z</dcterms:created>
  <dcterms:modified xsi:type="dcterms:W3CDTF">2025-02-06T12:08:06Z</dcterms:modified>
</cp:coreProperties>
</file>